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21" activeTab="29"/>
  </bookViews>
  <sheets>
    <sheet name="ПЛ б.э. люб." sheetId="1" r:id="rId1"/>
    <sheet name="ПЛ. софт эк. люб" sheetId="2" r:id="rId2"/>
    <sheet name="ПЛ б.э. ПРО" sheetId="3" r:id="rId3"/>
    <sheet name="ж.л. ПРО в софт3 сл." sheetId="4" r:id="rId4"/>
    <sheet name="ж.л. ПРО в софт эк." sheetId="5" r:id="rId5"/>
    <sheet name="ж.л. люб. софт эк." sheetId="6" r:id="rId6"/>
    <sheet name="ж.л. ПРО б.э." sheetId="7" r:id="rId7"/>
    <sheet name="ж.л. люб. без эк." sheetId="8" r:id="rId8"/>
    <sheet name="ж.л. люб. 1 слойная эк." sheetId="9" r:id="rId9"/>
    <sheet name="тяга ПРО б.э." sheetId="10" r:id="rId10"/>
    <sheet name="Тяга люб. б.э." sheetId="11" r:id="rId11"/>
    <sheet name="Присед ПРО б.э." sheetId="12" r:id="rId12"/>
    <sheet name="Присед люб. б.э." sheetId="13" r:id="rId13"/>
    <sheet name="Рж люб 55 кг" sheetId="14" r:id="rId14"/>
    <sheet name="Рж люб 35 кг" sheetId="15" r:id="rId15"/>
    <sheet name="Рж ПРО 100 кг" sheetId="16" r:id="rId16"/>
    <sheet name="Рж ПРО 75 кг" sheetId="17" r:id="rId17"/>
    <sheet name="Бицепс люб" sheetId="18" r:id="rId18"/>
    <sheet name="ПС ПРО" sheetId="19" r:id="rId19"/>
    <sheet name="ПС Люб" sheetId="20" r:id="rId20"/>
    <sheet name="ПРО Нж 0,5" sheetId="21" r:id="rId21"/>
    <sheet name="Про Нж 1" sheetId="22" r:id="rId22"/>
    <sheet name="Люб Нж 0,5" sheetId="23" r:id="rId23"/>
    <sheet name="Люб Нж 1" sheetId="24" r:id="rId24"/>
    <sheet name="Народная тяга" sheetId="25" r:id="rId25"/>
    <sheet name="Русская тяга" sheetId="26" r:id="rId26"/>
    <sheet name="жимовое двоеборье" sheetId="27" r:id="rId27"/>
    <sheet name="Силовое двоеборье" sheetId="28" r:id="rId28"/>
    <sheet name="ПРО военный жим" sheetId="29" r:id="rId29"/>
    <sheet name="Люб Военный жим" sheetId="30" r:id="rId30"/>
  </sheets>
  <definedNames/>
  <calcPr fullCalcOnLoad="1" refMode="R1C1"/>
</workbook>
</file>

<file path=xl/sharedStrings.xml><?xml version="1.0" encoding="utf-8"?>
<sst xmlns="http://schemas.openxmlformats.org/spreadsheetml/2006/main" count="3880" uniqueCount="1032">
  <si>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</si>
  <si>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</si>
  <si>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</si>
  <si>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</si>
  <si>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</si>
  <si>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</si>
  <si>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</si>
  <si>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</si>
  <si>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</si>
  <si>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Кубок Содружества
Любители пауэрлифтинг без экипировки
Белгород/Белгородская область 3 - 4 ноября 2018 г.</t>
  </si>
  <si>
    <t>Shv/Mel</t>
  </si>
  <si>
    <t>Приседание</t>
  </si>
  <si>
    <t>Жим лёжа</t>
  </si>
  <si>
    <t>Становая тяга</t>
  </si>
  <si>
    <t>ВЕСОВАЯ КАТЕГОРИЯ   60</t>
  </si>
  <si>
    <t>Городова Юлия</t>
  </si>
  <si>
    <t>1. Городова Юлия</t>
  </si>
  <si>
    <t>Юниорки 20 - 23 (01.04.1997)/21</t>
  </si>
  <si>
    <t>59,80</t>
  </si>
  <si>
    <t xml:space="preserve">Лично </t>
  </si>
  <si>
    <t xml:space="preserve">Белгород/Белгородская область </t>
  </si>
  <si>
    <t>55,0o</t>
  </si>
  <si>
    <t>60,0o</t>
  </si>
  <si>
    <t>65,0o</t>
  </si>
  <si>
    <t>25,0o</t>
  </si>
  <si>
    <t>30,0</t>
  </si>
  <si>
    <t>70,0o</t>
  </si>
  <si>
    <t>80,0o</t>
  </si>
  <si>
    <t xml:space="preserve"> </t>
  </si>
  <si>
    <t>ВЕСОВАЯ КАТЕГОРИЯ   67.5</t>
  </si>
  <si>
    <t>Ушакова Ольга</t>
  </si>
  <si>
    <t>1. Ушакова Ольга</t>
  </si>
  <si>
    <t>Открытая (22.03.1974)/44</t>
  </si>
  <si>
    <t>66,10</t>
  </si>
  <si>
    <t xml:space="preserve">Москва </t>
  </si>
  <si>
    <t>90,0o</t>
  </si>
  <si>
    <t>95,0o</t>
  </si>
  <si>
    <t>100,0</t>
  </si>
  <si>
    <t>50,0o</t>
  </si>
  <si>
    <t>55,0</t>
  </si>
  <si>
    <t>90,0</t>
  </si>
  <si>
    <t>95,0</t>
  </si>
  <si>
    <t>100,0o</t>
  </si>
  <si>
    <t>Царева Юлия</t>
  </si>
  <si>
    <t>2. Царева Юлия</t>
  </si>
  <si>
    <t>Открытая (27.11.1985)/32</t>
  </si>
  <si>
    <t>66,80</t>
  </si>
  <si>
    <t xml:space="preserve">Вольные стрелки </t>
  </si>
  <si>
    <t xml:space="preserve">Воронеж/Воронежская область </t>
  </si>
  <si>
    <t>60,0</t>
  </si>
  <si>
    <t>65,0</t>
  </si>
  <si>
    <t>70,0</t>
  </si>
  <si>
    <t>40,0</t>
  </si>
  <si>
    <t>45,0</t>
  </si>
  <si>
    <t>110,0</t>
  </si>
  <si>
    <t>120,0</t>
  </si>
  <si>
    <t>125,0</t>
  </si>
  <si>
    <t>Мастера 40 - 44 (22.03.1974)/44</t>
  </si>
  <si>
    <t>ВЕСОВАЯ КАТЕГОРИЯ   52</t>
  </si>
  <si>
    <t>Орлов Александр</t>
  </si>
  <si>
    <t>1. Орлов Александр</t>
  </si>
  <si>
    <t>Юноши 14 - 15 (18.09.2004)/14</t>
  </si>
  <si>
    <t>50,40</t>
  </si>
  <si>
    <t xml:space="preserve">ФОК Олимпийский </t>
  </si>
  <si>
    <t xml:space="preserve">Строитель/Белгородская область </t>
  </si>
  <si>
    <t>75,0</t>
  </si>
  <si>
    <t>50,0</t>
  </si>
  <si>
    <t>80,0</t>
  </si>
  <si>
    <t>85,0</t>
  </si>
  <si>
    <t>Алампиев Сергей</t>
  </si>
  <si>
    <t>1. Алампиев Сергей</t>
  </si>
  <si>
    <t>Мастера 60 - 64 (07.04.1957)/61</t>
  </si>
  <si>
    <t>67,10</t>
  </si>
  <si>
    <t xml:space="preserve">Шахты/Ростовская область </t>
  </si>
  <si>
    <t>140,0o</t>
  </si>
  <si>
    <t>155,0o</t>
  </si>
  <si>
    <t>160,0o</t>
  </si>
  <si>
    <t>180,0o</t>
  </si>
  <si>
    <t>200,0o</t>
  </si>
  <si>
    <t>ВЕСОВАЯ КАТЕГОРИЯ   75</t>
  </si>
  <si>
    <t>Южанин Егор</t>
  </si>
  <si>
    <t>1. Южанин Егор</t>
  </si>
  <si>
    <t>Юноши 14 - 15 (18.02.2004)/14</t>
  </si>
  <si>
    <t>74,00</t>
  </si>
  <si>
    <t>110,0o</t>
  </si>
  <si>
    <t>120,0o</t>
  </si>
  <si>
    <t>130,0o</t>
  </si>
  <si>
    <t>140,0</t>
  </si>
  <si>
    <t>150,0o</t>
  </si>
  <si>
    <t>Гребнев Алексей</t>
  </si>
  <si>
    <t>-. Гребнев Алексей</t>
  </si>
  <si>
    <t>Открытая (13.08.1992)/26</t>
  </si>
  <si>
    <t>74,40</t>
  </si>
  <si>
    <t xml:space="preserve">Титан </t>
  </si>
  <si>
    <t xml:space="preserve">Новый Оскол/Белгородская область </t>
  </si>
  <si>
    <t>175,0</t>
  </si>
  <si>
    <t>180,0</t>
  </si>
  <si>
    <t>190,0</t>
  </si>
  <si>
    <t>137,5</t>
  </si>
  <si>
    <t>195,0</t>
  </si>
  <si>
    <t>ВЕСОВАЯ КАТЕГОРИЯ   100</t>
  </si>
  <si>
    <t>Коныхов Игорь</t>
  </si>
  <si>
    <t>1. Коныхов Игорь</t>
  </si>
  <si>
    <t>Открытая (20.12.1970)/47</t>
  </si>
  <si>
    <t>99,00</t>
  </si>
  <si>
    <t>210,0o</t>
  </si>
  <si>
    <t>215,0o</t>
  </si>
  <si>
    <t>160,0</t>
  </si>
  <si>
    <t>250,0o</t>
  </si>
  <si>
    <t>260,0o</t>
  </si>
  <si>
    <t>270,0</t>
  </si>
  <si>
    <t>Мастера 45 - 49 (20.12.1970)/47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</si>
  <si>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</si>
  <si>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</si>
  <si>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</si>
  <si>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</si>
  <si>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</si>
  <si>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Женщины </t>
  </si>
  <si>
    <t xml:space="preserve">Юниорки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</si>
  <si>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</si>
  <si>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</si>
  <si>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</si>
  <si>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</si>
  <si>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</si>
  <si>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</si>
  <si>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170,0</t>
  </si>
  <si>
    <t>149,7136</t>
  </si>
  <si>
    <t xml:space="preserve">Открытая </t>
  </si>
  <si>
    <t>67,5</t>
  </si>
  <si>
    <t>245,0</t>
  </si>
  <si>
    <t>194,3585</t>
  </si>
  <si>
    <t>230,0</t>
  </si>
  <si>
    <t>180,8260</t>
  </si>
  <si>
    <t xml:space="preserve">Мастера </t>
  </si>
  <si>
    <t xml:space="preserve">Мастера 40 - 44 </t>
  </si>
  <si>
    <t>200,3836</t>
  </si>
  <si>
    <t xml:space="preserve">Мужчины </t>
  </si>
  <si>
    <t xml:space="preserve">Юноши </t>
  </si>
  <si>
    <t xml:space="preserve">Юноши 14 - 15 </t>
  </si>
  <si>
    <t>350,0</t>
  </si>
  <si>
    <t>289,1238</t>
  </si>
  <si>
    <t>52,0</t>
  </si>
  <si>
    <t>205,0</t>
  </si>
  <si>
    <t>248,9225</t>
  </si>
  <si>
    <t>630,0</t>
  </si>
  <si>
    <t>350,5950</t>
  </si>
  <si>
    <t xml:space="preserve">Мастера 60 - 64 </t>
  </si>
  <si>
    <t>445,0</t>
  </si>
  <si>
    <t>552,0181</t>
  </si>
  <si>
    <t xml:space="preserve">Мастера 45 - 49 </t>
  </si>
  <si>
    <t>382,8498</t>
  </si>
  <si>
    <t>Коробейников Д.Ю.</t>
  </si>
  <si>
    <t>Кузьменко Е.В.</t>
  </si>
  <si>
    <t>Коробейников М.Ю.</t>
  </si>
  <si>
    <t>Баранова К.В.</t>
  </si>
  <si>
    <t>Лыков Н.А.</t>
  </si>
  <si>
    <t>Кубок Содружества
Любители пауэрлифтинг в софт экипировке
Белгород/Белгородская область 3 - 4 ноября 2018 г.</t>
  </si>
  <si>
    <t>1. Долгополова Юлия</t>
  </si>
  <si>
    <t>Открытая (19.01.1988)/30</t>
  </si>
  <si>
    <t>59,00</t>
  </si>
  <si>
    <t>="0,8731"</t>
  </si>
  <si>
    <t>130,0</t>
  </si>
  <si>
    <t>150,0</t>
  </si>
  <si>
    <t>="380,0"</t>
  </si>
  <si>
    <t>="331,7970"</t>
  </si>
  <si>
    <t>Долгополова Юлия</t>
  </si>
  <si>
    <t>380,0</t>
  </si>
  <si>
    <t>331,7970</t>
  </si>
  <si>
    <t>Кубок Содружества
ПРО пауэрлифтинг без экипировки
Белгород/Белгородская область 3 - 4 ноября 2018 г.</t>
  </si>
  <si>
    <t>ВЕСОВАЯ КАТЕГОРИЯ   82.5</t>
  </si>
  <si>
    <t>1. Фомин Сергей</t>
  </si>
  <si>
    <t>Открытая (16.04.1983)/35</t>
  </si>
  <si>
    <t>81,60</t>
  </si>
  <si>
    <t>="0,6241"</t>
  </si>
  <si>
    <t xml:space="preserve">Липецк/Липецкая область </t>
  </si>
  <si>
    <t>215,0</t>
  </si>
  <si>
    <t>220,0</t>
  </si>
  <si>
    <t>177,5o</t>
  </si>
  <si>
    <t>182,5</t>
  </si>
  <si>
    <t>275,0</t>
  </si>
  <si>
    <t>290,0o</t>
  </si>
  <si>
    <t>="687.50o"</t>
  </si>
  <si>
    <t>="429,0688"</t>
  </si>
  <si>
    <t>1. Беглов Юрий</t>
  </si>
  <si>
    <t>Мастера 50 - 54 (06.05.1965)/53</t>
  </si>
  <si>
    <t>77,90</t>
  </si>
  <si>
    <t>="0,6454"</t>
  </si>
  <si>
    <t>105,0</t>
  </si>
  <si>
    <t>117,5</t>
  </si>
  <si>
    <t>200,0</t>
  </si>
  <si>
    <t>="505,0"</t>
  </si>
  <si>
    <t>="417,5125"</t>
  </si>
  <si>
    <t>Фомин Сергей</t>
  </si>
  <si>
    <t>82,5</t>
  </si>
  <si>
    <t>687,5</t>
  </si>
  <si>
    <t>429,0688</t>
  </si>
  <si>
    <t>Беглов Юрий</t>
  </si>
  <si>
    <t xml:space="preserve">Мастера 50 - 54 </t>
  </si>
  <si>
    <t>505,0</t>
  </si>
  <si>
    <t>417,5125</t>
  </si>
  <si>
    <t>Кубок Содружества
ПРО жим лежа в софт экипировке3сл.
Белгород/Белгородская область 3 - 4 ноября 2018 г.</t>
  </si>
  <si>
    <t>Результат</t>
  </si>
  <si>
    <t>1. Мельников Алексей</t>
  </si>
  <si>
    <t>Открытая (22.10.1987)/31</t>
  </si>
  <si>
    <t>98,60</t>
  </si>
  <si>
    <t xml:space="preserve">Монолит </t>
  </si>
  <si>
    <t>360,0</t>
  </si>
  <si>
    <t>1. Громов Сергей</t>
  </si>
  <si>
    <t>Мастера 50 - 54 (02.09.1966)/52</t>
  </si>
  <si>
    <t>99,90</t>
  </si>
  <si>
    <t xml:space="preserve">Спарта </t>
  </si>
  <si>
    <t>252,5</t>
  </si>
  <si>
    <t xml:space="preserve">Самост </t>
  </si>
  <si>
    <t>Мельников Алексей</t>
  </si>
  <si>
    <t>195,1250</t>
  </si>
  <si>
    <t>Громов Сергей</t>
  </si>
  <si>
    <t>169,2125</t>
  </si>
  <si>
    <t>Кубок Содружества
ПРО жим лежа в софт экипировке
Белгород/Белгородская область 3 - 4 ноября 2018 г.</t>
  </si>
  <si>
    <t>1. Яковенко Виктория</t>
  </si>
  <si>
    <t>Юниорки 20 - 23 (13.02.1995)/23</t>
  </si>
  <si>
    <t>73,90</t>
  </si>
  <si>
    <t>155,0</t>
  </si>
  <si>
    <t>1. Суриков Михаил</t>
  </si>
  <si>
    <t>Открытая (25.11.1985)/32</t>
  </si>
  <si>
    <t>82,00</t>
  </si>
  <si>
    <t xml:space="preserve">Дмитров/Московская область </t>
  </si>
  <si>
    <t>190,0o</t>
  </si>
  <si>
    <t>207,5</t>
  </si>
  <si>
    <t>1. Сущенко Алексей</t>
  </si>
  <si>
    <t>Открытая (21.10.1980)/38</t>
  </si>
  <si>
    <t>94,00</t>
  </si>
  <si>
    <t>237,5</t>
  </si>
  <si>
    <t>Яковенко Виктория</t>
  </si>
  <si>
    <t>124,0490</t>
  </si>
  <si>
    <t>Сущенко Алексей</t>
  </si>
  <si>
    <t>125,6200</t>
  </si>
  <si>
    <t>Суриков Михаил</t>
  </si>
  <si>
    <t>118,1610</t>
  </si>
  <si>
    <t>Кубок Содружества
Любители жим лежа в софт экипировке
Белгород/Белгородская область 3 - 4 ноября 2018 г.</t>
  </si>
  <si>
    <t>ВЕСОВАЯ КАТЕГОРИЯ   56</t>
  </si>
  <si>
    <t>1. Гостева Валентина</t>
  </si>
  <si>
    <t>Мастера 60 - 64 (07.08.1955)/63</t>
  </si>
  <si>
    <t>55,60</t>
  </si>
  <si>
    <t xml:space="preserve">Медведь </t>
  </si>
  <si>
    <t xml:space="preserve">Курск/Курская область </t>
  </si>
  <si>
    <t>1. Бурков Юрий</t>
  </si>
  <si>
    <t>Открытая (03.06.1991)/27</t>
  </si>
  <si>
    <t>67,40</t>
  </si>
  <si>
    <t xml:space="preserve">Викинг </t>
  </si>
  <si>
    <t>145,0</t>
  </si>
  <si>
    <t>1. Симкин Александр</t>
  </si>
  <si>
    <t>Юниоры 20 - 23 (13.12.1995)/22</t>
  </si>
  <si>
    <t>75,00</t>
  </si>
  <si>
    <t>185,0</t>
  </si>
  <si>
    <t>Открытая (13.12.1995)/22</t>
  </si>
  <si>
    <t>1. Карпачев Андрей</t>
  </si>
  <si>
    <t>Открытая (26.02.1986)/32</t>
  </si>
  <si>
    <t>82,40</t>
  </si>
  <si>
    <t>240,0</t>
  </si>
  <si>
    <t>250,0</t>
  </si>
  <si>
    <t>255,0</t>
  </si>
  <si>
    <t>ВЕСОВАЯ КАТЕГОРИЯ   90</t>
  </si>
  <si>
    <t>1. Карпачев Михаил</t>
  </si>
  <si>
    <t>Открытая (11.11.1959)/58</t>
  </si>
  <si>
    <t>89,90</t>
  </si>
  <si>
    <t>Мастера 55 - 59 (11.11.1959)/58</t>
  </si>
  <si>
    <t>1. Калакуцкий Руслан</t>
  </si>
  <si>
    <t>Открытая (22.04.1979)/39</t>
  </si>
  <si>
    <t>97,80</t>
  </si>
  <si>
    <t>260,0</t>
  </si>
  <si>
    <t>ВЕСОВАЯ КАТЕГОРИЯ   110</t>
  </si>
  <si>
    <t>1. Ващук Андрей</t>
  </si>
  <si>
    <t>Мастера 55 - 59 (28.06.1960)/58</t>
  </si>
  <si>
    <t>106,50</t>
  </si>
  <si>
    <t>185,0o</t>
  </si>
  <si>
    <t>195,0o</t>
  </si>
  <si>
    <t>Гостева Валентина</t>
  </si>
  <si>
    <t>56,0</t>
  </si>
  <si>
    <t>124,5303</t>
  </si>
  <si>
    <t xml:space="preserve">Юниоры </t>
  </si>
  <si>
    <t>Симкин Александр</t>
  </si>
  <si>
    <t>127,5175</t>
  </si>
  <si>
    <t>Карпачев Андрей</t>
  </si>
  <si>
    <t>154,9500</t>
  </si>
  <si>
    <t>Калакуцкий Руслан</t>
  </si>
  <si>
    <t>153,9175</t>
  </si>
  <si>
    <t>116,2875</t>
  </si>
  <si>
    <t>Бурков Юрий</t>
  </si>
  <si>
    <t>105,3860</t>
  </si>
  <si>
    <t>Карпачев Михаил</t>
  </si>
  <si>
    <t>87,8550</t>
  </si>
  <si>
    <t>Ващук Андрей</t>
  </si>
  <si>
    <t xml:space="preserve">Мастера 55 - 59 </t>
  </si>
  <si>
    <t>210,0</t>
  </si>
  <si>
    <t>174,4881</t>
  </si>
  <si>
    <t>134,8574</t>
  </si>
  <si>
    <t>Кубок Содружества
ПРО жим лежа без экипировки
Белгород/Белгородская область 3 - 4 ноября 2018 г.</t>
  </si>
  <si>
    <t>1. Галич Инга</t>
  </si>
  <si>
    <t>Мастера 45 - 49 (18.01.1970)/48</t>
  </si>
  <si>
    <t>67,20</t>
  </si>
  <si>
    <t xml:space="preserve">Санкт-Петербург </t>
  </si>
  <si>
    <t>105,0o</t>
  </si>
  <si>
    <t>1. Литвинова Елена</t>
  </si>
  <si>
    <t>Открытая (10.04.1991)/27</t>
  </si>
  <si>
    <t>73,00</t>
  </si>
  <si>
    <t xml:space="preserve">Старый Оскол/Белгородская область </t>
  </si>
  <si>
    <t>97,5o</t>
  </si>
  <si>
    <t>1. Кильдюшев Андрей</t>
  </si>
  <si>
    <t>Открытая (04.08.1988)/30</t>
  </si>
  <si>
    <t>80,00</t>
  </si>
  <si>
    <t>-. Водопьянов Евгений</t>
  </si>
  <si>
    <t>Открытая (22.01.1994)/24</t>
  </si>
  <si>
    <t>86,60</t>
  </si>
  <si>
    <t>157,5</t>
  </si>
  <si>
    <t>1. Лузин Сергей</t>
  </si>
  <si>
    <t>Мастера 60 - 64 (30.04.1954)/64</t>
  </si>
  <si>
    <t>88,70</t>
  </si>
  <si>
    <t xml:space="preserve">Фаворит </t>
  </si>
  <si>
    <t xml:space="preserve">Пермь/Пермский край </t>
  </si>
  <si>
    <t>127,5</t>
  </si>
  <si>
    <t>1. Новиков Илья</t>
  </si>
  <si>
    <t>Юноши 18 - 19 (10.03.1999)/19</t>
  </si>
  <si>
    <t>97,70</t>
  </si>
  <si>
    <t>192,5o</t>
  </si>
  <si>
    <t>197,5</t>
  </si>
  <si>
    <t>1. Белозеров Александр</t>
  </si>
  <si>
    <t>Юниоры 20 - 23 (03.04.1997)/21</t>
  </si>
  <si>
    <t>96,50</t>
  </si>
  <si>
    <t>135,0o</t>
  </si>
  <si>
    <t>Открытая (10.03.1999)/19</t>
  </si>
  <si>
    <t>192,5</t>
  </si>
  <si>
    <t>2. Сущенко Алексей</t>
  </si>
  <si>
    <t>165,0</t>
  </si>
  <si>
    <t>1. Кудинов Игорь</t>
  </si>
  <si>
    <t>Открытая (16.03.1982)/36</t>
  </si>
  <si>
    <t>107,00</t>
  </si>
  <si>
    <t>2. Половков Михаил</t>
  </si>
  <si>
    <t>Открытая (09.10.1977)/41</t>
  </si>
  <si>
    <t>109,90</t>
  </si>
  <si>
    <t>1. Половков Михаил</t>
  </si>
  <si>
    <t>Мастера 40 - 44 (09.10.1977)/41</t>
  </si>
  <si>
    <t>1. Толстых Виктор</t>
  </si>
  <si>
    <t>Мастера 50 - 54 (07.06.1965)/53</t>
  </si>
  <si>
    <t>108,20</t>
  </si>
  <si>
    <t>Литвинова Елена</t>
  </si>
  <si>
    <t>97,5</t>
  </si>
  <si>
    <t>71,7746</t>
  </si>
  <si>
    <t>Галич Инга</t>
  </si>
  <si>
    <t>91,7403</t>
  </si>
  <si>
    <t>Новиков Илья</t>
  </si>
  <si>
    <t xml:space="preserve">Юноши 18 - 19 </t>
  </si>
  <si>
    <t>112,0920</t>
  </si>
  <si>
    <t>Белозеров Александр</t>
  </si>
  <si>
    <t>80,4392</t>
  </si>
  <si>
    <t>Кильдюшев Андрей</t>
  </si>
  <si>
    <t>113,9220</t>
  </si>
  <si>
    <t>Кудинов Игорь</t>
  </si>
  <si>
    <t>108,1000</t>
  </si>
  <si>
    <t>107,7807</t>
  </si>
  <si>
    <t>Половков Михаил</t>
  </si>
  <si>
    <t>99,2710</t>
  </si>
  <si>
    <t>97,0700</t>
  </si>
  <si>
    <t>Лузин Сергей</t>
  </si>
  <si>
    <t>143,1667</t>
  </si>
  <si>
    <t>Толстых Виктор</t>
  </si>
  <si>
    <t>103,5304</t>
  </si>
  <si>
    <t>99,5688</t>
  </si>
  <si>
    <t>Кубок Содружества
Любители жим лежа без экипировки
Белгород/Белгородская область 3 - 4 ноября 2018 г.</t>
  </si>
  <si>
    <t>ВЕСОВАЯ КАТЕГОРИЯ   48</t>
  </si>
  <si>
    <t>1. Крузина Ася</t>
  </si>
  <si>
    <t>Открытая (24.12.1986)/31</t>
  </si>
  <si>
    <t>45,65</t>
  </si>
  <si>
    <t>57,5</t>
  </si>
  <si>
    <t>2. Астанина Элеонора</t>
  </si>
  <si>
    <t>Открытая (14.09.1991)/27</t>
  </si>
  <si>
    <t>47,30</t>
  </si>
  <si>
    <t>1. Воронова Елизавета</t>
  </si>
  <si>
    <t>Девушки 14 - 15 (09.06.2005)/13</t>
  </si>
  <si>
    <t>54,65</t>
  </si>
  <si>
    <t xml:space="preserve">Zeus </t>
  </si>
  <si>
    <t>72,5</t>
  </si>
  <si>
    <t>78,0</t>
  </si>
  <si>
    <t>1. Крапивенцева Яна</t>
  </si>
  <si>
    <t>Девушки 16 - 17 (04.02.2001)/17</t>
  </si>
  <si>
    <t>69,00</t>
  </si>
  <si>
    <t>47,5</t>
  </si>
  <si>
    <t>Открытая (10.01.1993)/25</t>
  </si>
  <si>
    <t>65,85</t>
  </si>
  <si>
    <t xml:space="preserve">Избербаш/Дагестан </t>
  </si>
  <si>
    <t>145,0o</t>
  </si>
  <si>
    <t>1. Бугаев Артем</t>
  </si>
  <si>
    <t>Юноши 18 - 19 (26.01.2000)/18</t>
  </si>
  <si>
    <t>135,0</t>
  </si>
  <si>
    <t>1. Иванов Егор</t>
  </si>
  <si>
    <t>Юниоры 20 - 23 (26.07.1996)/22</t>
  </si>
  <si>
    <t>70,30</t>
  </si>
  <si>
    <t xml:space="preserve">Губкин/Белгородская область </t>
  </si>
  <si>
    <t>2. Шульгин Виталий</t>
  </si>
  <si>
    <t>Юниоры 20 - 23 (22.09.1997)/21</t>
  </si>
  <si>
    <t>74,50</t>
  </si>
  <si>
    <t>132,5</t>
  </si>
  <si>
    <t>1. Карасев Александр</t>
  </si>
  <si>
    <t>Открытая (01.07.1980)/38</t>
  </si>
  <si>
    <t>74,80</t>
  </si>
  <si>
    <t>142,5</t>
  </si>
  <si>
    <t>2. Гребнев Алексей</t>
  </si>
  <si>
    <t>3. Дунский Владислав</t>
  </si>
  <si>
    <t>Открытая (13.08.1986)/32</t>
  </si>
  <si>
    <t>72,30</t>
  </si>
  <si>
    <t>1. Блохин Константин</t>
  </si>
  <si>
    <t>Мастера 55 - 59 (15.05.1963)/55</t>
  </si>
  <si>
    <t>73,20</t>
  </si>
  <si>
    <t>102,5</t>
  </si>
  <si>
    <t>112,5</t>
  </si>
  <si>
    <t>1. Алябьев Роман</t>
  </si>
  <si>
    <t>Открытая (22.12.1993)/24</t>
  </si>
  <si>
    <t>81,80</t>
  </si>
  <si>
    <t>115,0</t>
  </si>
  <si>
    <t>1. Слюсаренко Артем</t>
  </si>
  <si>
    <t>Юниоры 20 - 23 (28.11.1997)/20</t>
  </si>
  <si>
    <t>88,00</t>
  </si>
  <si>
    <t>2. Образцов Андрей</t>
  </si>
  <si>
    <t>Юниоры 20 - 23 (26.01.1995)/23</t>
  </si>
  <si>
    <t>86,50</t>
  </si>
  <si>
    <t>1. Долгих Владимир</t>
  </si>
  <si>
    <t>Открытая (02.07.1993)/25</t>
  </si>
  <si>
    <t>84,90</t>
  </si>
  <si>
    <t>162,5</t>
  </si>
  <si>
    <t>2. Грицков Евгений</t>
  </si>
  <si>
    <t>Открытая (28.06.1984)/34</t>
  </si>
  <si>
    <t>89,60</t>
  </si>
  <si>
    <t>3. Скрынник Валерий</t>
  </si>
  <si>
    <t>Открытая (25.01.1991)/27</t>
  </si>
  <si>
    <t xml:space="preserve">Борисовка/Белгородская область </t>
  </si>
  <si>
    <t>1. Мамонов Юрий</t>
  </si>
  <si>
    <t>Мастера 50 - 54 (07.04.1966)/52</t>
  </si>
  <si>
    <t>87,20</t>
  </si>
  <si>
    <t>117,5o</t>
  </si>
  <si>
    <t>1. Тарасов Александр</t>
  </si>
  <si>
    <t>Открытая (16.05.1970)/48</t>
  </si>
  <si>
    <t xml:space="preserve">Шебекино/Белгородская область </t>
  </si>
  <si>
    <t>2. Мотинов Алексей</t>
  </si>
  <si>
    <t>Открытая (06.11.1989)/28</t>
  </si>
  <si>
    <t>95,20</t>
  </si>
  <si>
    <t>187,5</t>
  </si>
  <si>
    <t>3. Мешковой Александр</t>
  </si>
  <si>
    <t>Открытая (28.12.1987)/30</t>
  </si>
  <si>
    <t>95,00</t>
  </si>
  <si>
    <t xml:space="preserve">AlexTeam </t>
  </si>
  <si>
    <t>4. Савченко Андрей</t>
  </si>
  <si>
    <t>Открытая (13.12.1991)/26</t>
  </si>
  <si>
    <t>95,45</t>
  </si>
  <si>
    <t>5. Зубков Владимир</t>
  </si>
  <si>
    <t>Открытая (05.02.1988)/30</t>
  </si>
  <si>
    <t>93,90</t>
  </si>
  <si>
    <t>Мастера 45 - 49 (16.05.1970)/48</t>
  </si>
  <si>
    <t>1. Подлегаев Дмитрий</t>
  </si>
  <si>
    <t>Юноши 18 - 19 (10.10.1999)/19</t>
  </si>
  <si>
    <t>107,20</t>
  </si>
  <si>
    <t xml:space="preserve">Железногорск/Курская область </t>
  </si>
  <si>
    <t>1. Кузнецов Дмитрий</t>
  </si>
  <si>
    <t>Открытая (26.08.1986)/32</t>
  </si>
  <si>
    <t>2. Желтушко Виктор</t>
  </si>
  <si>
    <t>Открытая (29.01.1978)/40</t>
  </si>
  <si>
    <t>105,00</t>
  </si>
  <si>
    <t>1. Желтушко Виктор</t>
  </si>
  <si>
    <t>Мастера 40 - 44 (29.01.1978)/40</t>
  </si>
  <si>
    <t>ВЕСОВАЯ КАТЕГОРИЯ   140</t>
  </si>
  <si>
    <t>1. Миляев Дмитрий</t>
  </si>
  <si>
    <t>Открытая (06.03.1993)/25</t>
  </si>
  <si>
    <t>130,00</t>
  </si>
  <si>
    <t xml:space="preserve">Девушки </t>
  </si>
  <si>
    <t>Воронова Елизавета</t>
  </si>
  <si>
    <t>85,8386</t>
  </si>
  <si>
    <t>Крапивенцева Яна</t>
  </si>
  <si>
    <t xml:space="preserve">Юноши 16 - 17 </t>
  </si>
  <si>
    <t>39,3061</t>
  </si>
  <si>
    <t>Крузина Ася</t>
  </si>
  <si>
    <t>48,0</t>
  </si>
  <si>
    <t>61,9218</t>
  </si>
  <si>
    <t>Астанина Элеонора</t>
  </si>
  <si>
    <t>57,5685</t>
  </si>
  <si>
    <t>Бугаев Артем</t>
  </si>
  <si>
    <t>96,2061</t>
  </si>
  <si>
    <t>Подлегаев Дмитрий</t>
  </si>
  <si>
    <t>81,4622</t>
  </si>
  <si>
    <t>Иванов Егор</t>
  </si>
  <si>
    <t>106,1258</t>
  </si>
  <si>
    <t>Слюсаренко Артем</t>
  </si>
  <si>
    <t>97,8088</t>
  </si>
  <si>
    <t>Шульгин Виталий</t>
  </si>
  <si>
    <t>90,2802</t>
  </si>
  <si>
    <t>Образцов Андрей</t>
  </si>
  <si>
    <t>81,0000</t>
  </si>
  <si>
    <t>Тарасов Александр</t>
  </si>
  <si>
    <t>116,4030</t>
  </si>
  <si>
    <t>Магомедов Гусен</t>
  </si>
  <si>
    <t>111,3525</t>
  </si>
  <si>
    <t>Кузнецов Дмитрий</t>
  </si>
  <si>
    <t>108,2600</t>
  </si>
  <si>
    <t>Миляев Дмитрий</t>
  </si>
  <si>
    <t>108,1500</t>
  </si>
  <si>
    <t>Мотинов Алексей</t>
  </si>
  <si>
    <t>106,3500</t>
  </si>
  <si>
    <t>Мешковой Александр</t>
  </si>
  <si>
    <t>99,3650</t>
  </si>
  <si>
    <t>Долгих Владимир</t>
  </si>
  <si>
    <t>98,7025</t>
  </si>
  <si>
    <t>Карасев Александр</t>
  </si>
  <si>
    <t>94,8907</t>
  </si>
  <si>
    <t>Желтушко Виктор</t>
  </si>
  <si>
    <t>92,4290</t>
  </si>
  <si>
    <t>90,2745</t>
  </si>
  <si>
    <t>Грицков Евгений</t>
  </si>
  <si>
    <t>88,0350</t>
  </si>
  <si>
    <t>Савченко Андрей</t>
  </si>
  <si>
    <t>87,7997</t>
  </si>
  <si>
    <t>Зубков Владимир</t>
  </si>
  <si>
    <t>85,7100</t>
  </si>
  <si>
    <t>Скрынник Валерий</t>
  </si>
  <si>
    <t>76,2970</t>
  </si>
  <si>
    <t>Алябьев Роман</t>
  </si>
  <si>
    <t>74,7600</t>
  </si>
  <si>
    <t>Дунский Владислав</t>
  </si>
  <si>
    <t>56,4548</t>
  </si>
  <si>
    <t>137,6603</t>
  </si>
  <si>
    <t>130,0222</t>
  </si>
  <si>
    <t>Блохин Константин</t>
  </si>
  <si>
    <t>105,1663</t>
  </si>
  <si>
    <t>Мамонов Юрий</t>
  </si>
  <si>
    <t>84,7941</t>
  </si>
  <si>
    <t>Измаилов Магомед</t>
  </si>
  <si>
    <t>Кубок Содружества
ПРО становая тяга без экипировки
Белгород/Белгородская область 3 - 4 ноября 2018 г.</t>
  </si>
  <si>
    <t>1. Клинцова Мария</t>
  </si>
  <si>
    <t>Открытая (31.01.1987)/31</t>
  </si>
  <si>
    <t xml:space="preserve">Владивосток/Приморский край </t>
  </si>
  <si>
    <t>2. Литвинова Елена</t>
  </si>
  <si>
    <t>1. Локтионова Илия</t>
  </si>
  <si>
    <t>Открытая (02.09.1980)/38</t>
  </si>
  <si>
    <t>79,90</t>
  </si>
  <si>
    <t>225,0</t>
  </si>
  <si>
    <t>1. Осипенков Сергей</t>
  </si>
  <si>
    <t>Открытая (12.07.1984)/34</t>
  </si>
  <si>
    <t>87,10</t>
  </si>
  <si>
    <t>235,0o</t>
  </si>
  <si>
    <t>1. Мотайло Дмитрий</t>
  </si>
  <si>
    <t>Открытая (06.06.1985)/33</t>
  </si>
  <si>
    <t>96,00</t>
  </si>
  <si>
    <t>265,0o</t>
  </si>
  <si>
    <t>270,0o</t>
  </si>
  <si>
    <t>1. Малышко Андрей</t>
  </si>
  <si>
    <t>Мастера 40 - 44 (30.03.1978)/40</t>
  </si>
  <si>
    <t>97,20</t>
  </si>
  <si>
    <t>1. Меркулов Виталий</t>
  </si>
  <si>
    <t>Открытая (11.06.1990)/28</t>
  </si>
  <si>
    <t>107,80</t>
  </si>
  <si>
    <t xml:space="preserve">Курчатов/Курская область </t>
  </si>
  <si>
    <t>285,0</t>
  </si>
  <si>
    <t>300,0</t>
  </si>
  <si>
    <t>305,0</t>
  </si>
  <si>
    <t>Локтионова Илия</t>
  </si>
  <si>
    <t>155,1375</t>
  </si>
  <si>
    <t>117,7840</t>
  </si>
  <si>
    <t>Клинцова Мария</t>
  </si>
  <si>
    <t>117,3169</t>
  </si>
  <si>
    <t>Меркулов Виталий</t>
  </si>
  <si>
    <t>161,7900</t>
  </si>
  <si>
    <t>Мотайло Дмитрий</t>
  </si>
  <si>
    <t>152,4960</t>
  </si>
  <si>
    <t>Осипенков Сергей</t>
  </si>
  <si>
    <t>146,3385</t>
  </si>
  <si>
    <t>181,8866</t>
  </si>
  <si>
    <t>Малышко Андрей</t>
  </si>
  <si>
    <t>126,2925</t>
  </si>
  <si>
    <t>Кубок Содружества
Любители становая тяга без экипировки
Белгород/Белгородская область 3 - 4 ноября 2018 г.</t>
  </si>
  <si>
    <t>1. Царева Юлия</t>
  </si>
  <si>
    <t>1. Сыса Максим</t>
  </si>
  <si>
    <t>Юноши 14 - 15 (26.08.2004)/14</t>
  </si>
  <si>
    <t>58,85</t>
  </si>
  <si>
    <t xml:space="preserve">Православный клуб </t>
  </si>
  <si>
    <t>107,5</t>
  </si>
  <si>
    <t>122,5</t>
  </si>
  <si>
    <t>1. Солодовников Данил</t>
  </si>
  <si>
    <t>Юноши 16 - 17 (14.06.2001)/17</t>
  </si>
  <si>
    <t>63,85</t>
  </si>
  <si>
    <t>147,5</t>
  </si>
  <si>
    <t>1. Ярченко Андрей</t>
  </si>
  <si>
    <t>Юноши 18 - 19 (15.08.1999)/19</t>
  </si>
  <si>
    <t>72,80</t>
  </si>
  <si>
    <t xml:space="preserve">Луганск </t>
  </si>
  <si>
    <t>1. Гребнев Алексей</t>
  </si>
  <si>
    <t>1. Мандриков Игорь</t>
  </si>
  <si>
    <t>Открытая (02.04.1993)/25</t>
  </si>
  <si>
    <t>87,00</t>
  </si>
  <si>
    <t xml:space="preserve">AlexFitnes </t>
  </si>
  <si>
    <t>217,5</t>
  </si>
  <si>
    <t>2. Осипов Михаил</t>
  </si>
  <si>
    <t>Открытая (17.06.1981)/37</t>
  </si>
  <si>
    <t>85,00</t>
  </si>
  <si>
    <t>205,0o</t>
  </si>
  <si>
    <t>222,5</t>
  </si>
  <si>
    <t>-. Скрынник Валерий</t>
  </si>
  <si>
    <t>1. Гусев Александр</t>
  </si>
  <si>
    <t>Открытая (08.08.1973)/45</t>
  </si>
  <si>
    <t>97,50</t>
  </si>
  <si>
    <t>2. Лавренов Николай</t>
  </si>
  <si>
    <t>Открытая (21.05.1988)/30</t>
  </si>
  <si>
    <t>97,00</t>
  </si>
  <si>
    <t>3. Жинкин Дмитрий</t>
  </si>
  <si>
    <t>96,80</t>
  </si>
  <si>
    <t>1. Пастухов Максим</t>
  </si>
  <si>
    <t>Мастера 40 - 44 (06.09.1976)/42</t>
  </si>
  <si>
    <t>235,0</t>
  </si>
  <si>
    <t>Мастера 45 - 49 (08.08.1973)/45</t>
  </si>
  <si>
    <t>97,2308</t>
  </si>
  <si>
    <t>94,3440</t>
  </si>
  <si>
    <t>166,0403</t>
  </si>
  <si>
    <t>Ярченко Андрей</t>
  </si>
  <si>
    <t>145,0826</t>
  </si>
  <si>
    <t>Сыса Максим</t>
  </si>
  <si>
    <t>124,9623</t>
  </si>
  <si>
    <t>Солодовников Данил</t>
  </si>
  <si>
    <t>121,7291</t>
  </si>
  <si>
    <t>137,0835</t>
  </si>
  <si>
    <t>Гусев Александр</t>
  </si>
  <si>
    <t>134,5200</t>
  </si>
  <si>
    <t>Мандриков Игорь</t>
  </si>
  <si>
    <t>134,5050</t>
  </si>
  <si>
    <t>Осипов Михаил</t>
  </si>
  <si>
    <t>130,4835</t>
  </si>
  <si>
    <t>Лавренов Николай</t>
  </si>
  <si>
    <t>126,4275</t>
  </si>
  <si>
    <t>Жинкин Дмитрий</t>
  </si>
  <si>
    <t>115,2920</t>
  </si>
  <si>
    <t>248,0980</t>
  </si>
  <si>
    <t>140,9770</t>
  </si>
  <si>
    <t>Пастухов Максим</t>
  </si>
  <si>
    <t>133,3535</t>
  </si>
  <si>
    <t>Кубок Содружества
ПРО присед без экипировки
Белгород/Белгородская область 3 - 4 ноября 2018 г.</t>
  </si>
  <si>
    <t>103,4250</t>
  </si>
  <si>
    <t>Кубок Содружества
Любители присед без экипировки
Белгород/Белгородская область 3 - 4 ноября 2018 г.</t>
  </si>
  <si>
    <t>1. Лавренов Николай</t>
  </si>
  <si>
    <t>101,1420</t>
  </si>
  <si>
    <t>Кубок Содружества
Любители жим лежа в 1 слойной экипировке
Белгород/Белгородская область 3 - 4 ноября 2018 г.</t>
  </si>
  <si>
    <t>1. Копылов Алексей</t>
  </si>
  <si>
    <t>Открытая (09.01.1985)/33</t>
  </si>
  <si>
    <t>74,10</t>
  </si>
  <si>
    <t>Валуйки. Белгородская область.</t>
  </si>
  <si>
    <t>167,5</t>
  </si>
  <si>
    <t>91,1300</t>
  </si>
  <si>
    <t xml:space="preserve">   Копылов Алексей</t>
  </si>
  <si>
    <t xml:space="preserve">Дергалев Тимофей, Артемов Артем, Корнилов Дмитрий, Корнилов Дмитрий </t>
  </si>
  <si>
    <t xml:space="preserve">32(12+6+7+7) </t>
  </si>
  <si>
    <t xml:space="preserve">Козка Павел, Жинкин Дмитрий, Лавренов Николай, Величко Владимир, Журавель Сергей, Тарской Александр, Шульгин Сергей </t>
  </si>
  <si>
    <t xml:space="preserve">70(8+8+12+12+12+9+9) </t>
  </si>
  <si>
    <t xml:space="preserve">Участники </t>
  </si>
  <si>
    <t xml:space="preserve">Очки </t>
  </si>
  <si>
    <t xml:space="preserve">Команда </t>
  </si>
  <si>
    <t xml:space="preserve">Командное первенство </t>
  </si>
  <si>
    <t>29,9931</t>
  </si>
  <si>
    <t>2200,0</t>
  </si>
  <si>
    <t>All</t>
  </si>
  <si>
    <t xml:space="preserve">Мастера 40 - 49 </t>
  </si>
  <si>
    <t>Корнилов Дмитрий</t>
  </si>
  <si>
    <t>31,3333</t>
  </si>
  <si>
    <t>2585,0</t>
  </si>
  <si>
    <t>Козка Павел</t>
  </si>
  <si>
    <t>31,5168</t>
  </si>
  <si>
    <t>2805,0</t>
  </si>
  <si>
    <t>Шульгин Сергей</t>
  </si>
  <si>
    <t>33,0000</t>
  </si>
  <si>
    <t>3135,0</t>
  </si>
  <si>
    <t>Журавель Сергей</t>
  </si>
  <si>
    <t xml:space="preserve">Атлетизм </t>
  </si>
  <si>
    <t>24,2138</t>
  </si>
  <si>
    <t>1925,0</t>
  </si>
  <si>
    <t>Артемов Артем</t>
  </si>
  <si>
    <t>34,6590</t>
  </si>
  <si>
    <t>3355,0</t>
  </si>
  <si>
    <t>41,0633</t>
  </si>
  <si>
    <t>3630,0</t>
  </si>
  <si>
    <t>Тарской Александр</t>
  </si>
  <si>
    <t>45,9278</t>
  </si>
  <si>
    <t>4455,0</t>
  </si>
  <si>
    <t>22,5641</t>
  </si>
  <si>
    <t>1760,0</t>
  </si>
  <si>
    <t>Дергалев Тимофей</t>
  </si>
  <si>
    <t>119,7278</t>
  </si>
  <si>
    <t>10560,0</t>
  </si>
  <si>
    <t xml:space="preserve">Юноши 13 - 19 </t>
  </si>
  <si>
    <t>Величко Владимир</t>
  </si>
  <si>
    <t>Баранова К.</t>
  </si>
  <si>
    <t>Лыков Н.</t>
  </si>
  <si>
    <t xml:space="preserve">Брянск/Брянская область </t>
  </si>
  <si>
    <t>73,35</t>
  </si>
  <si>
    <t>Мастера 40 - 49 (19.04.1976)/42</t>
  </si>
  <si>
    <t>4. Корнилов Дмитрий</t>
  </si>
  <si>
    <t>47,0</t>
  </si>
  <si>
    <t>82,50</t>
  </si>
  <si>
    <t>Мастера 40 - 49 (21.06.1972)/46</t>
  </si>
  <si>
    <t>3. Козка Павел</t>
  </si>
  <si>
    <t>51,0</t>
  </si>
  <si>
    <t>89,00</t>
  </si>
  <si>
    <t>Мастера 40 - 49 (20.10.1975)/43</t>
  </si>
  <si>
    <t>2. Шульгин Сергей</t>
  </si>
  <si>
    <t>57,0</t>
  </si>
  <si>
    <t>Мастера 40 - 49 (25.03.1969)/49</t>
  </si>
  <si>
    <t>1. Журавель Сергей</t>
  </si>
  <si>
    <t>35,0</t>
  </si>
  <si>
    <t>79,50</t>
  </si>
  <si>
    <t>Открытая (24.01.1994)/24</t>
  </si>
  <si>
    <t>5. Артемов Артем</t>
  </si>
  <si>
    <t>Открытая (19.04.1976)/42</t>
  </si>
  <si>
    <t>61,0</t>
  </si>
  <si>
    <t>66,0</t>
  </si>
  <si>
    <t>88,40</t>
  </si>
  <si>
    <t>Открытая (19.12.1980)/37</t>
  </si>
  <si>
    <t>2. Тарской Александр</t>
  </si>
  <si>
    <t>81,0</t>
  </si>
  <si>
    <t>32,0</t>
  </si>
  <si>
    <t>78,00</t>
  </si>
  <si>
    <t>Юниоры 20 - 23 (28.12.1994)/23</t>
  </si>
  <si>
    <t>1. Дергалев Тимофей</t>
  </si>
  <si>
    <t>192,0</t>
  </si>
  <si>
    <t>88,20</t>
  </si>
  <si>
    <t>Юноши 13 - 19 (01.04.2000)/18</t>
  </si>
  <si>
    <t>1. Величко Владимир</t>
  </si>
  <si>
    <t>ВЕСОВАЯ КАТЕГОРИЯ   All</t>
  </si>
  <si>
    <t>Повторы</t>
  </si>
  <si>
    <t>Вес</t>
  </si>
  <si>
    <t>Тоннаж</t>
  </si>
  <si>
    <t>Жим мн. повт.</t>
  </si>
  <si>
    <t>Атлетизм</t>
  </si>
  <si>
    <t>Кубок содружества - РЖ
Русский жим любители 55 кг.
Белгород/Белгородская область 3 - 4 ноября 2018 г.</t>
  </si>
  <si>
    <t>18,6666</t>
  </si>
  <si>
    <t>840,0</t>
  </si>
  <si>
    <t>23,6786</t>
  </si>
  <si>
    <t>1120,0</t>
  </si>
  <si>
    <t>26,2580</t>
  </si>
  <si>
    <t>1435,0</t>
  </si>
  <si>
    <t>="18,6666"</t>
  </si>
  <si>
    <t>="840,0"</t>
  </si>
  <si>
    <t>24,0</t>
  </si>
  <si>
    <t>="1,0000"</t>
  </si>
  <si>
    <t>45,00</t>
  </si>
  <si>
    <t>2. Крузина Ася</t>
  </si>
  <si>
    <t>="23,6786"</t>
  </si>
  <si>
    <t>="1120,0"</t>
  </si>
  <si>
    <t>1. Астанина Элеонора</t>
  </si>
  <si>
    <t>="26,2580"</t>
  </si>
  <si>
    <t>="1435,0"</t>
  </si>
  <si>
    <t>41,0</t>
  </si>
  <si>
    <t>Девушки 13 - 19 (09.06.2005)/13</t>
  </si>
  <si>
    <t>Кубок содружества - РЖ
Русский жим любители 35 кг.
Белгород/Белгородская область 3 - 4 ноября 2018 г.</t>
  </si>
  <si>
    <t>21,4810</t>
  </si>
  <si>
    <t>1900,0</t>
  </si>
  <si>
    <t>Санников Александр</t>
  </si>
  <si>
    <t>="21,4810"</t>
  </si>
  <si>
    <t>="1900,0"</t>
  </si>
  <si>
    <t>19,0</t>
  </si>
  <si>
    <t>88,45</t>
  </si>
  <si>
    <t>Открытая (24.04.1981)/37</t>
  </si>
  <si>
    <t>1. Санников Александр</t>
  </si>
  <si>
    <t>Кубок содружества - РЖ
Русский жим профессионалы 100 кг.
Белгород/Белгородская область 3 - 4 ноября 2018 г.</t>
  </si>
  <si>
    <t>22,8297</t>
  </si>
  <si>
    <t>2025,0</t>
  </si>
  <si>
    <t xml:space="preserve">Мастера 60+ </t>
  </si>
  <si>
    <t>27,0</t>
  </si>
  <si>
    <t>Мастера 60+ (30.04.1954)/64</t>
  </si>
  <si>
    <t>Кубок содружества - РЖ
Русский жим профессионалы 75 кг.
Белгород/Белгородская область 3 - 4 ноября 2018 г.</t>
  </si>
  <si>
    <t xml:space="preserve">Кузнецов Дмитрий </t>
  </si>
  <si>
    <t xml:space="preserve">12(12) </t>
  </si>
  <si>
    <t xml:space="preserve">Ярченко Андрей, Ярченко Андрей </t>
  </si>
  <si>
    <t xml:space="preserve">20(8+12) </t>
  </si>
  <si>
    <t xml:space="preserve">Рядинский Денис, Трофимов Дмитрий </t>
  </si>
  <si>
    <t xml:space="preserve">24(12+12) </t>
  </si>
  <si>
    <t xml:space="preserve">Сталь Белогорья </t>
  </si>
  <si>
    <t xml:space="preserve">Чубарых Петр, Козка Павел, Соломкин Роман, Пахомов Никита, Величко Владимир, Крапивенцева Яна, Журавель Сергей, Тарской Александр </t>
  </si>
  <si>
    <t xml:space="preserve">93(12+12+12+12+12+12+12+9) </t>
  </si>
  <si>
    <t xml:space="preserve">Швецов Михаил, Калугин Иван, Пузанок Павел, Сурин Вадим, Молчанов Роман, Тюпко Григорий, Коростелев Федор, Махфузов Афраим, Грицков Евгений, Аванесов Марлен, Шестаков Федор, Бессмертный Иван, Сильченко Александр </t>
  </si>
  <si>
    <t xml:space="preserve">138(12+7+8+12+12+9+9+12+12+12+9+12+12) </t>
  </si>
  <si>
    <t>34,4284</t>
  </si>
  <si>
    <t>Трофимов Дмитрий</t>
  </si>
  <si>
    <t>35,3129</t>
  </si>
  <si>
    <t>Сильченко Александр</t>
  </si>
  <si>
    <t>37,3499</t>
  </si>
  <si>
    <t>39,7219</t>
  </si>
  <si>
    <t>29,3947</t>
  </si>
  <si>
    <t>52,5</t>
  </si>
  <si>
    <t>Пахомов Никита</t>
  </si>
  <si>
    <t>34,7083</t>
  </si>
  <si>
    <t>Бессмертный Иван</t>
  </si>
  <si>
    <t>35,1340</t>
  </si>
  <si>
    <t>Калугин Иван</t>
  </si>
  <si>
    <t>35,7262</t>
  </si>
  <si>
    <t>36,9875</t>
  </si>
  <si>
    <t>62,5</t>
  </si>
  <si>
    <t>38,7240</t>
  </si>
  <si>
    <t>Пузанок Павел</t>
  </si>
  <si>
    <t>38,7375</t>
  </si>
  <si>
    <t>Коростелев Федор</t>
  </si>
  <si>
    <t>40,6400</t>
  </si>
  <si>
    <t>Молчанов Роман</t>
  </si>
  <si>
    <t>42,5502</t>
  </si>
  <si>
    <t>43,3040</t>
  </si>
  <si>
    <t>43,4200</t>
  </si>
  <si>
    <t>Тюпко Григорий</t>
  </si>
  <si>
    <t>43,5330</t>
  </si>
  <si>
    <t>Рядинский Денис</t>
  </si>
  <si>
    <t>43,9400</t>
  </si>
  <si>
    <t>Чубарых Петр</t>
  </si>
  <si>
    <t>39,6125</t>
  </si>
  <si>
    <t>Аванесов Марлен</t>
  </si>
  <si>
    <t>44,6875</t>
  </si>
  <si>
    <t>Махфузов Афраим</t>
  </si>
  <si>
    <t>34,8276</t>
  </si>
  <si>
    <t>Швецов Михаил</t>
  </si>
  <si>
    <t>37,1553</t>
  </si>
  <si>
    <t>38,9400</t>
  </si>
  <si>
    <t>37,5</t>
  </si>
  <si>
    <t>Соломкин Роман</t>
  </si>
  <si>
    <t>40,8301</t>
  </si>
  <si>
    <t>41,0077</t>
  </si>
  <si>
    <t>Шестаков Федор</t>
  </si>
  <si>
    <t>43,2016</t>
  </si>
  <si>
    <t>Сурин Вадим</t>
  </si>
  <si>
    <t>26,8936</t>
  </si>
  <si>
    <t>32,5</t>
  </si>
  <si>
    <t>Мастера 45 - 49 (25.03.1969)/49</t>
  </si>
  <si>
    <t>42,5</t>
  </si>
  <si>
    <t>Открытая (03.10.1991)/27</t>
  </si>
  <si>
    <t>1. Пахомов Никита</t>
  </si>
  <si>
    <t>84,95</t>
  </si>
  <si>
    <t>Мастера 40 - 44 (18.02.1974)/44</t>
  </si>
  <si>
    <t>1. Трофимов Дмитрий</t>
  </si>
  <si>
    <t>72,5o</t>
  </si>
  <si>
    <t>1. Грицков Евгений</t>
  </si>
  <si>
    <t>Юноши 18 - 19 (01.04.2000)/18</t>
  </si>
  <si>
    <t>Мастера 45 - 49 (21.06.1972)/46</t>
  </si>
  <si>
    <t>1. Козка Павел</t>
  </si>
  <si>
    <t>42,5o</t>
  </si>
  <si>
    <t>80,40</t>
  </si>
  <si>
    <t>Мастера 40 - 44 (24.07.1975)/43</t>
  </si>
  <si>
    <t>1. Сильченко Александр</t>
  </si>
  <si>
    <t>79,00</t>
  </si>
  <si>
    <t>Открытая (16.03.1986)/32</t>
  </si>
  <si>
    <t>4. Калугин Иван</t>
  </si>
  <si>
    <t>Открытая (09.07.1985)/33</t>
  </si>
  <si>
    <t>3. Пузанок Павел</t>
  </si>
  <si>
    <t>62,5o</t>
  </si>
  <si>
    <t>57,5o</t>
  </si>
  <si>
    <t>Открытая (20.07.1984)/34</t>
  </si>
  <si>
    <t>2. Коростелев Федор</t>
  </si>
  <si>
    <t>Открытая (06.07.1985)/33</t>
  </si>
  <si>
    <t>1. Рядинский Денис</t>
  </si>
  <si>
    <t>79,85</t>
  </si>
  <si>
    <t>Юниоры 20 - 23 (05.12.1994)/23</t>
  </si>
  <si>
    <t>1. Аванесов Марлен</t>
  </si>
  <si>
    <t>Открытая (15.08.1999)/19</t>
  </si>
  <si>
    <t>3. Ярченко Андрей</t>
  </si>
  <si>
    <t xml:space="preserve">Челябинск/Челябинская область </t>
  </si>
  <si>
    <t>Открытая (25.06.1990)/28</t>
  </si>
  <si>
    <t>2. Тюпко Григорий</t>
  </si>
  <si>
    <t>73,40</t>
  </si>
  <si>
    <t>Открытая (17.04.1980)/38</t>
  </si>
  <si>
    <t>1. Чубарых Петр</t>
  </si>
  <si>
    <t>47,5o</t>
  </si>
  <si>
    <t>Юноши 16 - 17 (21.06.2001)/17</t>
  </si>
  <si>
    <t>1. Швецов Михаил</t>
  </si>
  <si>
    <t xml:space="preserve">Валуйки/Белгородская область </t>
  </si>
  <si>
    <t>67,00</t>
  </si>
  <si>
    <t>Открытая (25.03.1993)/25</t>
  </si>
  <si>
    <t>1. Бессмертный Иван</t>
  </si>
  <si>
    <t>67,50</t>
  </si>
  <si>
    <t>Юноши 16 - 17 (24.11.2001)/16</t>
  </si>
  <si>
    <t>2. Шестаков Федор</t>
  </si>
  <si>
    <t>67,35</t>
  </si>
  <si>
    <t>Юноши 16 - 17 (10.05.2001)/17</t>
  </si>
  <si>
    <t>1. Сурин Вадим</t>
  </si>
  <si>
    <t>45,0o</t>
  </si>
  <si>
    <t>60,00</t>
  </si>
  <si>
    <t>Открытая (03.07.1995)/23</t>
  </si>
  <si>
    <t>1. Молчанов Роман</t>
  </si>
  <si>
    <t>52,5o</t>
  </si>
  <si>
    <t>58,50</t>
  </si>
  <si>
    <t>Юниоры 20 - 23 (19.10.1997)/21</t>
  </si>
  <si>
    <t>1. Махфузов Афраим</t>
  </si>
  <si>
    <t>55,70</t>
  </si>
  <si>
    <t>Юноши 14 - 15 (26.12.2002)/15</t>
  </si>
  <si>
    <t>1. Соломкин Роман</t>
  </si>
  <si>
    <t>27,5</t>
  </si>
  <si>
    <t>22,5</t>
  </si>
  <si>
    <t>Подъем на бицепс</t>
  </si>
  <si>
    <t>Кубок содружества - ПС
Одиночный подъём штанги на бицепс Любители
Белгород/Белгородская область 3 - 4 ноября 2018 г.</t>
  </si>
  <si>
    <t>75,4290</t>
  </si>
  <si>
    <t>76,0208</t>
  </si>
  <si>
    <t>Осетров Евгений</t>
  </si>
  <si>
    <t>74,35</t>
  </si>
  <si>
    <t>Юниоры 20 - 23 (03.03.1996)/22</t>
  </si>
  <si>
    <t>1. Осетров Евгений</t>
  </si>
  <si>
    <t>Жим стоя</t>
  </si>
  <si>
    <t>Собственный
вес</t>
  </si>
  <si>
    <t>Кубок содружества - ПС
Пауэрспорт Профессионалы
Белгород/Белгородская область 3 - 4 ноября 2018 г.</t>
  </si>
  <si>
    <t>77,7887</t>
  </si>
  <si>
    <t>79,8114</t>
  </si>
  <si>
    <t>85,4868</t>
  </si>
  <si>
    <t>88,5320</t>
  </si>
  <si>
    <t>Карпунин Александр</t>
  </si>
  <si>
    <t>78,4135</t>
  </si>
  <si>
    <t>90,3560</t>
  </si>
  <si>
    <t>93,5200</t>
  </si>
  <si>
    <t>94,6400</t>
  </si>
  <si>
    <t>80,0598</t>
  </si>
  <si>
    <t>84,0000</t>
  </si>
  <si>
    <t>77,8800</t>
  </si>
  <si>
    <t>99,7693</t>
  </si>
  <si>
    <t>100,00</t>
  </si>
  <si>
    <t>Мастера 40 - 44 (21.10.1974)/44</t>
  </si>
  <si>
    <t>1. Карпунин Александр</t>
  </si>
  <si>
    <t>2. Трофимов Дмитрий</t>
  </si>
  <si>
    <t>Мастера 40 - 44 (20.10.1975)/43</t>
  </si>
  <si>
    <t>1. Шульгин Сергей</t>
  </si>
  <si>
    <t>1. Тарской Александр</t>
  </si>
  <si>
    <t>1. Образцов Андрей</t>
  </si>
  <si>
    <t>1. Пузанок Павел</t>
  </si>
  <si>
    <t>1. Шульгин Виталий</t>
  </si>
  <si>
    <t>77,5</t>
  </si>
  <si>
    <t>-. Сурин Вадим</t>
  </si>
  <si>
    <t>Кубок содружества - ПС
Пауэрспорт Любители
Белгород/Белгородская область 3 - 4 ноября 2018 г.</t>
  </si>
  <si>
    <t>2281,2300</t>
  </si>
  <si>
    <t>3150,0</t>
  </si>
  <si>
    <t xml:space="preserve">НАП Н.Ж. </t>
  </si>
  <si>
    <t>1324,3463</t>
  </si>
  <si>
    <t>1612,5</t>
  </si>
  <si>
    <t>43,0</t>
  </si>
  <si>
    <t>НАП Н.Ж.</t>
  </si>
  <si>
    <t>Кубок содружества НЖ
Профессионалы народный жим (1/2 вес)
Белгород/Белгородская область 3 - 4 ноября 2018 г.</t>
  </si>
  <si>
    <t>1633,9500</t>
  </si>
  <si>
    <t>2250,0</t>
  </si>
  <si>
    <t>1855,0001</t>
  </si>
  <si>
    <t>2800,0</t>
  </si>
  <si>
    <t>2836,4399</t>
  </si>
  <si>
    <t>3600,0</t>
  </si>
  <si>
    <t>Огневой Николай</t>
  </si>
  <si>
    <t>1194,2925</t>
  </si>
  <si>
    <t>1425,0</t>
  </si>
  <si>
    <t>28,0</t>
  </si>
  <si>
    <t>25,0</t>
  </si>
  <si>
    <t>79,20</t>
  </si>
  <si>
    <t>Открытая (06.04.1981)/37</t>
  </si>
  <si>
    <t>1. Огневой Николай</t>
  </si>
  <si>
    <t>73,50</t>
  </si>
  <si>
    <t>Кубок содружества НЖ
Профессионалы народный жим (1 вес)
Белгород/Белгородская область 3 - 4 ноября 2018 г.</t>
  </si>
  <si>
    <t xml:space="preserve">Гацко Руслан </t>
  </si>
  <si>
    <t xml:space="preserve">Лузин Сергей </t>
  </si>
  <si>
    <t>47,80</t>
  </si>
  <si>
    <t>Юноши 14 - 15 (20.03.2006)/12</t>
  </si>
  <si>
    <t>1. Гацко Руслан</t>
  </si>
  <si>
    <t>Кубок содружества НЖ
Любители народный жим (1/2 вес)
Белгород/Белгородская область 3 - 4 ноября 2018 г.</t>
  </si>
  <si>
    <t>1272,1640</t>
  </si>
  <si>
    <t>1805,0</t>
  </si>
  <si>
    <t>1310,9400</t>
  </si>
  <si>
    <t>1800,0</t>
  </si>
  <si>
    <t>1617,3674</t>
  </si>
  <si>
    <t>1. Зубков Владимир</t>
  </si>
  <si>
    <t>20,0</t>
  </si>
  <si>
    <t>Кубок содружества НЖ
Любители народный жим (1 вес)
Белгород/Белгородская область 3 - 4 ноября 2018 г.</t>
  </si>
  <si>
    <t>4160</t>
  </si>
  <si>
    <t>80</t>
  </si>
  <si>
    <t>Курск</t>
  </si>
  <si>
    <t>Медведь</t>
  </si>
  <si>
    <t>79</t>
  </si>
  <si>
    <t>Открытая</t>
  </si>
  <si>
    <t>ВЕСОВАЯ КАТЕГОРИЯ   82,5</t>
  </si>
  <si>
    <t>Москва</t>
  </si>
  <si>
    <t>Монолит</t>
  </si>
  <si>
    <t>75</t>
  </si>
  <si>
    <t>Народная тяга</t>
  </si>
  <si>
    <t>Кубок содружества
ПРО Народная тяга
Белгород/Белгородская область 3 - 4 ноября 2018 г.</t>
  </si>
  <si>
    <t>3300</t>
  </si>
  <si>
    <t>100</t>
  </si>
  <si>
    <t>Русская тяга</t>
  </si>
  <si>
    <t>Кубок содружества
ПРО Русская тяга
Белгород/Белгородская область 3 - 4 ноября 2018 г.</t>
  </si>
  <si>
    <t>185</t>
  </si>
  <si>
    <t>45</t>
  </si>
  <si>
    <t>145</t>
  </si>
  <si>
    <t>135</t>
  </si>
  <si>
    <t>79,2</t>
  </si>
  <si>
    <t>открытая</t>
  </si>
  <si>
    <t>повторы</t>
  </si>
  <si>
    <t>Вес штанги</t>
  </si>
  <si>
    <t>Народный жим</t>
  </si>
  <si>
    <t>Жим лежа</t>
  </si>
  <si>
    <t>Кубок содружества
ПРО жимовое двоеборье
Белгород/Белгородская область 3 - 4 ноября 2018 г.</t>
  </si>
  <si>
    <t>390</t>
  </si>
  <si>
    <t>230</t>
  </si>
  <si>
    <t>220</t>
  </si>
  <si>
    <t>160</t>
  </si>
  <si>
    <t>140</t>
  </si>
  <si>
    <t>Белгород</t>
  </si>
  <si>
    <t>ФОК Олимпийский</t>
  </si>
  <si>
    <t>Мастера 40-44</t>
  </si>
  <si>
    <t>337,5</t>
  </si>
  <si>
    <t>200</t>
  </si>
  <si>
    <t>175</t>
  </si>
  <si>
    <t>125</t>
  </si>
  <si>
    <t>87,3</t>
  </si>
  <si>
    <t>Перьков Александр</t>
  </si>
  <si>
    <t>3</t>
  </si>
  <si>
    <t>Кубок содружества
Силовое двоеборье
Белгород/Белгородская область 3 - 4 ноября 2018 г.</t>
  </si>
  <si>
    <t>116,00</t>
  </si>
  <si>
    <t>Открытая (25.08.1988)/30</t>
  </si>
  <si>
    <t>1. Лазарев Виталий</t>
  </si>
  <si>
    <t>ВЕСОВАЯ КАТЕГОРИЯ   125</t>
  </si>
  <si>
    <t>108,60</t>
  </si>
  <si>
    <t>Открытая (07.06.1965)/53</t>
  </si>
  <si>
    <t>Кубок Содружества
ПРО военный жим
Белгород/Белгородская область 3 - 4 ноября 2018 г.</t>
  </si>
  <si>
    <t xml:space="preserve">Мешковой Александр </t>
  </si>
  <si>
    <t xml:space="preserve">Чубарых Петр, Жинкин Дмитрий, Пахомов Никита, Шульгин Виталий, Журавель Сергей, Шульгин Сергей, Образцов Андрей </t>
  </si>
  <si>
    <t xml:space="preserve">77(12+9+8+12+12+12+12) </t>
  </si>
  <si>
    <t>65,9898</t>
  </si>
  <si>
    <t>81,1954</t>
  </si>
  <si>
    <t>60,1892</t>
  </si>
  <si>
    <t>74,3600</t>
  </si>
  <si>
    <t>74,5180</t>
  </si>
  <si>
    <t>89,4285</t>
  </si>
  <si>
    <t>78,0000</t>
  </si>
  <si>
    <t>86,8734</t>
  </si>
  <si>
    <t>3. Пахомов Никита</t>
  </si>
  <si>
    <t>2. Жинкин Дмитрий</t>
  </si>
  <si>
    <t>1. Мешковой Александр</t>
  </si>
  <si>
    <t>Кубок Содружества
Любители военный жим
Белгород/Белгородская область 3 - 4 ноября 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</si>
</sst>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2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2"/>
    </xf>
    <xf numFmtId="49" fontId="0" fillId="0" borderId="0" xfId="0" applyNumberFormat="1" applyFont="1" applyFill="1" applyBorder="1" applyAlignment="1">
      <alignment horizontal="left" indent="2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left" indent="1"/>
    </xf>
    <xf numFmtId="49" fontId="2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9" fillId="0" borderId="10" xfId="0" applyNumberFormat="1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="70" zoomScaleNormal="70" zoomScalePageLayoutView="0" workbookViewId="0" topLeftCell="A1">
      <selection activeCell="A16" sqref="A16:T16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6.625" style="3" bestFit="1" customWidth="1"/>
    <col min="10" max="10" width="4.875" style="3" bestFit="1" customWidth="1"/>
    <col min="11" max="12" width="6.625" style="3" bestFit="1" customWidth="1"/>
    <col min="13" max="13" width="5.625" style="3" bestFit="1" customWidth="1"/>
    <col min="14" max="14" width="4.875" style="3" bestFit="1" customWidth="1"/>
    <col min="15" max="17" width="6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1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s="2" customFormat="1" ht="61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12</v>
      </c>
      <c r="L3" s="39"/>
      <c r="M3" s="39"/>
      <c r="N3" s="39"/>
      <c r="O3" s="39" t="s">
        <v>13</v>
      </c>
      <c r="P3" s="39"/>
      <c r="Q3" s="39"/>
      <c r="R3" s="39"/>
      <c r="S3" s="39" t="s">
        <v>1</v>
      </c>
      <c r="T3" s="39" t="s">
        <v>3</v>
      </c>
      <c r="U3" s="50" t="s">
        <v>2</v>
      </c>
    </row>
    <row r="4" spans="1:21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0"/>
      <c r="T4" s="40"/>
      <c r="U4" s="51"/>
    </row>
    <row r="5" spans="1:20" ht="15">
      <c r="A5" s="38" t="s">
        <v>14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1" ht="12.75">
      <c r="A6" s="6" t="s">
        <v>16</v>
      </c>
      <c r="B6" s="6" t="s">
        <v>17</v>
      </c>
      <c r="C6" s="6" t="s">
        <v>18</v>
      </c>
      <c r="D6" s="6" t="str">
        <f>"0,8634"</f>
        <v>0,8634</v>
      </c>
      <c r="E6" s="6" t="s">
        <v>19</v>
      </c>
      <c r="F6" s="6" t="s">
        <v>20</v>
      </c>
      <c r="G6" s="7" t="s">
        <v>21</v>
      </c>
      <c r="H6" s="7" t="s">
        <v>22</v>
      </c>
      <c r="I6" s="7" t="s">
        <v>23</v>
      </c>
      <c r="J6" s="8"/>
      <c r="K6" s="7" t="s">
        <v>24</v>
      </c>
      <c r="L6" s="8" t="s">
        <v>25</v>
      </c>
      <c r="M6" s="8" t="s">
        <v>25</v>
      </c>
      <c r="N6" s="8"/>
      <c r="O6" s="7" t="s">
        <v>23</v>
      </c>
      <c r="P6" s="7" t="s">
        <v>26</v>
      </c>
      <c r="Q6" s="7" t="s">
        <v>27</v>
      </c>
      <c r="R6" s="8"/>
      <c r="S6" s="6" t="str">
        <f>"170.00o"</f>
        <v>170.00o</v>
      </c>
      <c r="T6" s="7" t="str">
        <f>"149,7136"</f>
        <v>149,7136</v>
      </c>
      <c r="U6" s="6" t="s">
        <v>28</v>
      </c>
    </row>
    <row r="8" spans="1:20" ht="15">
      <c r="A8" s="37" t="s">
        <v>29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1" ht="12.75">
      <c r="A9" s="9" t="s">
        <v>31</v>
      </c>
      <c r="B9" s="9" t="s">
        <v>32</v>
      </c>
      <c r="C9" s="9" t="s">
        <v>33</v>
      </c>
      <c r="D9" s="9" t="str">
        <f>"0,7933"</f>
        <v>0,7933</v>
      </c>
      <c r="E9" s="9" t="s">
        <v>19</v>
      </c>
      <c r="F9" s="9" t="s">
        <v>34</v>
      </c>
      <c r="G9" s="10" t="s">
        <v>35</v>
      </c>
      <c r="H9" s="10" t="s">
        <v>36</v>
      </c>
      <c r="I9" s="11" t="s">
        <v>37</v>
      </c>
      <c r="J9" s="11"/>
      <c r="K9" s="10" t="s">
        <v>38</v>
      </c>
      <c r="L9" s="11" t="s">
        <v>39</v>
      </c>
      <c r="M9" s="11" t="s">
        <v>39</v>
      </c>
      <c r="N9" s="11"/>
      <c r="O9" s="10" t="s">
        <v>40</v>
      </c>
      <c r="P9" s="10" t="s">
        <v>41</v>
      </c>
      <c r="Q9" s="10" t="s">
        <v>42</v>
      </c>
      <c r="R9" s="11"/>
      <c r="S9" s="9" t="str">
        <f>"245.00o"</f>
        <v>245.00o</v>
      </c>
      <c r="T9" s="10" t="str">
        <f>"194,3585"</f>
        <v>194,3585</v>
      </c>
      <c r="U9" s="9" t="s">
        <v>28</v>
      </c>
    </row>
    <row r="10" spans="1:21" ht="12.75">
      <c r="A10" s="12" t="s">
        <v>44</v>
      </c>
      <c r="B10" s="12" t="s">
        <v>45</v>
      </c>
      <c r="C10" s="12" t="s">
        <v>46</v>
      </c>
      <c r="D10" s="12" t="str">
        <f>"0,7862"</f>
        <v>0,7862</v>
      </c>
      <c r="E10" s="12" t="s">
        <v>47</v>
      </c>
      <c r="F10" s="12" t="s">
        <v>48</v>
      </c>
      <c r="G10" s="13" t="s">
        <v>49</v>
      </c>
      <c r="H10" s="13" t="s">
        <v>50</v>
      </c>
      <c r="I10" s="13" t="s">
        <v>51</v>
      </c>
      <c r="J10" s="14"/>
      <c r="K10" s="13" t="s">
        <v>52</v>
      </c>
      <c r="L10" s="14" t="s">
        <v>53</v>
      </c>
      <c r="M10" s="14" t="s">
        <v>53</v>
      </c>
      <c r="N10" s="14"/>
      <c r="O10" s="13" t="s">
        <v>54</v>
      </c>
      <c r="P10" s="13" t="s">
        <v>55</v>
      </c>
      <c r="Q10" s="14" t="s">
        <v>56</v>
      </c>
      <c r="R10" s="14"/>
      <c r="S10" s="12" t="str">
        <f>"230,0"</f>
        <v>230,0</v>
      </c>
      <c r="T10" s="13" t="str">
        <f>"180,8260"</f>
        <v>180,8260</v>
      </c>
      <c r="U10" s="12" t="s">
        <v>28</v>
      </c>
    </row>
    <row r="11" spans="1:21" ht="12.75">
      <c r="A11" s="15" t="s">
        <v>31</v>
      </c>
      <c r="B11" s="15" t="s">
        <v>57</v>
      </c>
      <c r="C11" s="15" t="s">
        <v>33</v>
      </c>
      <c r="D11" s="15" t="str">
        <f>"0,7933"</f>
        <v>0,7933</v>
      </c>
      <c r="E11" s="15" t="s">
        <v>19</v>
      </c>
      <c r="F11" s="15" t="s">
        <v>34</v>
      </c>
      <c r="G11" s="16" t="s">
        <v>35</v>
      </c>
      <c r="H11" s="16" t="s">
        <v>36</v>
      </c>
      <c r="I11" s="17" t="s">
        <v>37</v>
      </c>
      <c r="J11" s="17"/>
      <c r="K11" s="16" t="s">
        <v>38</v>
      </c>
      <c r="L11" s="17" t="s">
        <v>39</v>
      </c>
      <c r="M11" s="17" t="s">
        <v>39</v>
      </c>
      <c r="N11" s="17"/>
      <c r="O11" s="16" t="s">
        <v>35</v>
      </c>
      <c r="P11" s="16" t="s">
        <v>36</v>
      </c>
      <c r="Q11" s="16" t="s">
        <v>42</v>
      </c>
      <c r="R11" s="17"/>
      <c r="S11" s="15" t="str">
        <f>"245.00o"</f>
        <v>245.00o</v>
      </c>
      <c r="T11" s="16" t="str">
        <f>"200,3836"</f>
        <v>200,3836</v>
      </c>
      <c r="U11" s="15" t="s">
        <v>28</v>
      </c>
    </row>
    <row r="13" spans="1:20" ht="15">
      <c r="A13" s="37" t="s">
        <v>58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1" ht="12.75">
      <c r="A14" s="6" t="s">
        <v>60</v>
      </c>
      <c r="B14" s="6" t="s">
        <v>61</v>
      </c>
      <c r="C14" s="6" t="s">
        <v>62</v>
      </c>
      <c r="D14" s="6" t="str">
        <f>"0,9872"</f>
        <v>0,9872</v>
      </c>
      <c r="E14" s="6" t="s">
        <v>63</v>
      </c>
      <c r="F14" s="6" t="s">
        <v>64</v>
      </c>
      <c r="G14" s="7" t="s">
        <v>50</v>
      </c>
      <c r="H14" s="7" t="s">
        <v>51</v>
      </c>
      <c r="I14" s="7" t="s">
        <v>65</v>
      </c>
      <c r="J14" s="8"/>
      <c r="K14" s="7" t="s">
        <v>52</v>
      </c>
      <c r="L14" s="7" t="s">
        <v>53</v>
      </c>
      <c r="M14" s="8" t="s">
        <v>66</v>
      </c>
      <c r="N14" s="8"/>
      <c r="O14" s="7" t="s">
        <v>51</v>
      </c>
      <c r="P14" s="7" t="s">
        <v>67</v>
      </c>
      <c r="Q14" s="7" t="s">
        <v>68</v>
      </c>
      <c r="R14" s="8"/>
      <c r="S14" s="6" t="str">
        <f>"205,0"</f>
        <v>205,0</v>
      </c>
      <c r="T14" s="7" t="str">
        <f>"248,9225"</f>
        <v>248,9225</v>
      </c>
      <c r="U14" s="6" t="s">
        <v>28</v>
      </c>
    </row>
    <row r="16" spans="1:20" ht="15">
      <c r="A16" s="37" t="s">
        <v>29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1" ht="12.75">
      <c r="A17" s="6" t="s">
        <v>70</v>
      </c>
      <c r="B17" s="6" t="s">
        <v>71</v>
      </c>
      <c r="C17" s="6" t="s">
        <v>72</v>
      </c>
      <c r="D17" s="6" t="str">
        <f>"0,7297"</f>
        <v>0,7297</v>
      </c>
      <c r="E17" s="6" t="s">
        <v>19</v>
      </c>
      <c r="F17" s="6" t="s">
        <v>73</v>
      </c>
      <c r="G17" s="7" t="s">
        <v>74</v>
      </c>
      <c r="H17" s="7" t="s">
        <v>75</v>
      </c>
      <c r="I17" s="8"/>
      <c r="J17" s="8"/>
      <c r="K17" s="7" t="s">
        <v>27</v>
      </c>
      <c r="L17" s="8" t="s">
        <v>40</v>
      </c>
      <c r="M17" s="7" t="s">
        <v>35</v>
      </c>
      <c r="N17" s="8"/>
      <c r="O17" s="7" t="s">
        <v>76</v>
      </c>
      <c r="P17" s="7" t="s">
        <v>77</v>
      </c>
      <c r="Q17" s="7" t="s">
        <v>78</v>
      </c>
      <c r="R17" s="8"/>
      <c r="S17" s="6" t="str">
        <f>"445.00o"</f>
        <v>445.00o</v>
      </c>
      <c r="T17" s="7" t="str">
        <f>"552,0181"</f>
        <v>552,0181</v>
      </c>
      <c r="U17" s="6" t="s">
        <v>28</v>
      </c>
    </row>
    <row r="19" spans="1:20" ht="15">
      <c r="A19" s="37" t="s">
        <v>79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1" ht="12.75">
      <c r="A20" s="9" t="s">
        <v>81</v>
      </c>
      <c r="B20" s="9" t="s">
        <v>82</v>
      </c>
      <c r="C20" s="9" t="s">
        <v>83</v>
      </c>
      <c r="D20" s="9" t="str">
        <f>"0,6716"</f>
        <v>0,6716</v>
      </c>
      <c r="E20" s="9" t="s">
        <v>19</v>
      </c>
      <c r="F20" s="9" t="s">
        <v>20</v>
      </c>
      <c r="G20" s="10" t="s">
        <v>42</v>
      </c>
      <c r="H20" s="10" t="s">
        <v>84</v>
      </c>
      <c r="I20" s="10" t="s">
        <v>85</v>
      </c>
      <c r="J20" s="11"/>
      <c r="K20" s="10" t="s">
        <v>26</v>
      </c>
      <c r="L20" s="10" t="s">
        <v>27</v>
      </c>
      <c r="M20" s="11" t="s">
        <v>68</v>
      </c>
      <c r="N20" s="11"/>
      <c r="O20" s="10" t="s">
        <v>86</v>
      </c>
      <c r="P20" s="10" t="s">
        <v>87</v>
      </c>
      <c r="Q20" s="10" t="s">
        <v>88</v>
      </c>
      <c r="R20" s="11"/>
      <c r="S20" s="9" t="str">
        <f>"350.00o"</f>
        <v>350.00o</v>
      </c>
      <c r="T20" s="10" t="str">
        <f>"289,1238"</f>
        <v>289,1238</v>
      </c>
      <c r="U20" s="9" t="s">
        <v>28</v>
      </c>
    </row>
    <row r="21" spans="1:21" ht="12.75">
      <c r="A21" s="15" t="s">
        <v>90</v>
      </c>
      <c r="B21" s="15" t="s">
        <v>91</v>
      </c>
      <c r="C21" s="15" t="s">
        <v>92</v>
      </c>
      <c r="D21" s="15" t="str">
        <f>"0,6687"</f>
        <v>0,6687</v>
      </c>
      <c r="E21" s="15" t="s">
        <v>93</v>
      </c>
      <c r="F21" s="15" t="s">
        <v>94</v>
      </c>
      <c r="G21" s="16" t="s">
        <v>95</v>
      </c>
      <c r="H21" s="16" t="s">
        <v>96</v>
      </c>
      <c r="I21" s="17" t="s">
        <v>97</v>
      </c>
      <c r="J21" s="17"/>
      <c r="K21" s="17" t="s">
        <v>98</v>
      </c>
      <c r="L21" s="17" t="s">
        <v>98</v>
      </c>
      <c r="M21" s="17" t="s">
        <v>98</v>
      </c>
      <c r="N21" s="17"/>
      <c r="O21" s="17" t="s">
        <v>99</v>
      </c>
      <c r="P21" s="17"/>
      <c r="Q21" s="17"/>
      <c r="R21" s="17"/>
      <c r="S21" s="15" t="str">
        <f>"0.00"</f>
        <v>0.00</v>
      </c>
      <c r="T21" s="16" t="str">
        <f>"0,0000"</f>
        <v>0,0000</v>
      </c>
      <c r="U21" s="15" t="s">
        <v>28</v>
      </c>
    </row>
    <row r="23" spans="1:20" ht="15">
      <c r="A23" s="37" t="s">
        <v>100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1" ht="12.75">
      <c r="A24" s="9" t="s">
        <v>102</v>
      </c>
      <c r="B24" s="9" t="s">
        <v>103</v>
      </c>
      <c r="C24" s="9" t="s">
        <v>104</v>
      </c>
      <c r="D24" s="9" t="str">
        <f>"0,5565"</f>
        <v>0,5565</v>
      </c>
      <c r="E24" s="9" t="s">
        <v>19</v>
      </c>
      <c r="F24" s="9" t="s">
        <v>20</v>
      </c>
      <c r="G24" s="10" t="s">
        <v>78</v>
      </c>
      <c r="H24" s="10" t="s">
        <v>105</v>
      </c>
      <c r="I24" s="10" t="s">
        <v>106</v>
      </c>
      <c r="J24" s="11"/>
      <c r="K24" s="10" t="s">
        <v>88</v>
      </c>
      <c r="L24" s="10" t="s">
        <v>75</v>
      </c>
      <c r="M24" s="11" t="s">
        <v>107</v>
      </c>
      <c r="N24" s="11"/>
      <c r="O24" s="10" t="s">
        <v>108</v>
      </c>
      <c r="P24" s="10" t="s">
        <v>109</v>
      </c>
      <c r="Q24" s="11" t="s">
        <v>110</v>
      </c>
      <c r="R24" s="11"/>
      <c r="S24" s="9" t="str">
        <f>"630.00o"</f>
        <v>630.00o</v>
      </c>
      <c r="T24" s="10" t="str">
        <f>"350,5950"</f>
        <v>350,5950</v>
      </c>
      <c r="U24" s="9" t="s">
        <v>28</v>
      </c>
    </row>
    <row r="25" spans="1:21" ht="12.75">
      <c r="A25" s="15" t="s">
        <v>102</v>
      </c>
      <c r="B25" s="15" t="s">
        <v>111</v>
      </c>
      <c r="C25" s="15" t="s">
        <v>104</v>
      </c>
      <c r="D25" s="15" t="str">
        <f>"0,5565"</f>
        <v>0,5565</v>
      </c>
      <c r="E25" s="15" t="s">
        <v>19</v>
      </c>
      <c r="F25" s="15" t="s">
        <v>20</v>
      </c>
      <c r="G25" s="16" t="s">
        <v>78</v>
      </c>
      <c r="H25" s="16" t="s">
        <v>105</v>
      </c>
      <c r="I25" s="16" t="s">
        <v>106</v>
      </c>
      <c r="J25" s="17"/>
      <c r="K25" s="16" t="s">
        <v>88</v>
      </c>
      <c r="L25" s="16" t="s">
        <v>75</v>
      </c>
      <c r="M25" s="17" t="s">
        <v>107</v>
      </c>
      <c r="N25" s="17"/>
      <c r="O25" s="16" t="s">
        <v>108</v>
      </c>
      <c r="P25" s="16" t="s">
        <v>109</v>
      </c>
      <c r="Q25" s="17" t="s">
        <v>110</v>
      </c>
      <c r="R25" s="17"/>
      <c r="S25" s="15" t="str">
        <f>"630.00o"</f>
        <v>630.00o</v>
      </c>
      <c r="T25" s="16" t="str">
        <f>"382,8498"</f>
        <v>382,8498</v>
      </c>
      <c r="U25" s="15" t="s">
        <v>28</v>
      </c>
    </row>
    <row r="27" spans="5:6" ht="15">
      <c r="E27" s="18" t="s">
        <v>112</v>
      </c>
      <c r="F27" s="18" t="s">
        <v>151</v>
      </c>
    </row>
    <row r="28" spans="5:6" ht="15">
      <c r="E28" s="18" t="s">
        <v>113</v>
      </c>
      <c r="F28" s="18" t="s">
        <v>152</v>
      </c>
    </row>
    <row r="29" spans="5:6" ht="15">
      <c r="E29" s="18" t="s">
        <v>114</v>
      </c>
      <c r="F29" s="18" t="s">
        <v>153</v>
      </c>
    </row>
    <row r="30" spans="5:6" ht="15">
      <c r="E30" s="18" t="s">
        <v>115</v>
      </c>
      <c r="F30" s="18" t="s">
        <v>154</v>
      </c>
    </row>
    <row r="31" spans="5:6" ht="15">
      <c r="E31" s="18" t="s">
        <v>115</v>
      </c>
      <c r="F31" s="18" t="s">
        <v>155</v>
      </c>
    </row>
    <row r="32" ht="15">
      <c r="E32" s="18"/>
    </row>
    <row r="33" ht="15">
      <c r="E33" s="18"/>
    </row>
    <row r="35" spans="1:2" ht="18">
      <c r="A35" s="19" t="s">
        <v>116</v>
      </c>
      <c r="B35" s="19"/>
    </row>
    <row r="36" spans="1:2" ht="15">
      <c r="A36" s="20" t="s">
        <v>117</v>
      </c>
      <c r="B36" s="20"/>
    </row>
    <row r="37" spans="1:2" ht="14.25">
      <c r="A37" s="22"/>
      <c r="B37" s="23" t="s">
        <v>118</v>
      </c>
    </row>
    <row r="38" spans="1:5" ht="15">
      <c r="A38" s="24" t="s">
        <v>119</v>
      </c>
      <c r="B38" s="24" t="s">
        <v>120</v>
      </c>
      <c r="C38" s="24" t="s">
        <v>121</v>
      </c>
      <c r="D38" s="24" t="s">
        <v>122</v>
      </c>
      <c r="E38" s="24" t="s">
        <v>123</v>
      </c>
    </row>
    <row r="39" spans="1:5" ht="12.75">
      <c r="A39" s="21" t="s">
        <v>15</v>
      </c>
      <c r="B39" s="4" t="s">
        <v>124</v>
      </c>
      <c r="C39" s="4" t="s">
        <v>49</v>
      </c>
      <c r="D39" s="4" t="s">
        <v>125</v>
      </c>
      <c r="E39" s="25" t="s">
        <v>126</v>
      </c>
    </row>
    <row r="41" spans="1:2" ht="14.25">
      <c r="A41" s="22"/>
      <c r="B41" s="23" t="s">
        <v>127</v>
      </c>
    </row>
    <row r="42" spans="1:5" ht="15">
      <c r="A42" s="24" t="s">
        <v>119</v>
      </c>
      <c r="B42" s="24" t="s">
        <v>120</v>
      </c>
      <c r="C42" s="24" t="s">
        <v>121</v>
      </c>
      <c r="D42" s="24" t="s">
        <v>122</v>
      </c>
      <c r="E42" s="24" t="s">
        <v>123</v>
      </c>
    </row>
    <row r="43" spans="1:5" ht="12.75">
      <c r="A43" s="21" t="s">
        <v>30</v>
      </c>
      <c r="B43" s="4" t="s">
        <v>127</v>
      </c>
      <c r="C43" s="4" t="s">
        <v>128</v>
      </c>
      <c r="D43" s="4" t="s">
        <v>129</v>
      </c>
      <c r="E43" s="25" t="s">
        <v>130</v>
      </c>
    </row>
    <row r="44" spans="1:5" ht="12.75">
      <c r="A44" s="21" t="s">
        <v>43</v>
      </c>
      <c r="B44" s="4" t="s">
        <v>127</v>
      </c>
      <c r="C44" s="4" t="s">
        <v>128</v>
      </c>
      <c r="D44" s="4" t="s">
        <v>131</v>
      </c>
      <c r="E44" s="25" t="s">
        <v>132</v>
      </c>
    </row>
    <row r="46" spans="1:2" ht="14.25">
      <c r="A46" s="22"/>
      <c r="B46" s="23" t="s">
        <v>133</v>
      </c>
    </row>
    <row r="47" spans="1:5" ht="15">
      <c r="A47" s="24" t="s">
        <v>119</v>
      </c>
      <c r="B47" s="24" t="s">
        <v>120</v>
      </c>
      <c r="C47" s="24" t="s">
        <v>121</v>
      </c>
      <c r="D47" s="24" t="s">
        <v>122</v>
      </c>
      <c r="E47" s="24" t="s">
        <v>123</v>
      </c>
    </row>
    <row r="48" spans="1:5" ht="12.75">
      <c r="A48" s="21" t="s">
        <v>30</v>
      </c>
      <c r="B48" s="4" t="s">
        <v>134</v>
      </c>
      <c r="C48" s="4" t="s">
        <v>128</v>
      </c>
      <c r="D48" s="4" t="s">
        <v>129</v>
      </c>
      <c r="E48" s="25" t="s">
        <v>135</v>
      </c>
    </row>
    <row r="51" spans="1:2" ht="15">
      <c r="A51" s="20" t="s">
        <v>136</v>
      </c>
      <c r="B51" s="20"/>
    </row>
    <row r="52" spans="1:2" ht="14.25">
      <c r="A52" s="22"/>
      <c r="B52" s="23" t="s">
        <v>137</v>
      </c>
    </row>
    <row r="53" spans="1:5" ht="15">
      <c r="A53" s="24" t="s">
        <v>119</v>
      </c>
      <c r="B53" s="24" t="s">
        <v>120</v>
      </c>
      <c r="C53" s="24" t="s">
        <v>121</v>
      </c>
      <c r="D53" s="24" t="s">
        <v>122</v>
      </c>
      <c r="E53" s="24" t="s">
        <v>123</v>
      </c>
    </row>
    <row r="54" spans="1:5" ht="12.75">
      <c r="A54" s="21" t="s">
        <v>80</v>
      </c>
      <c r="B54" s="4" t="s">
        <v>138</v>
      </c>
      <c r="C54" s="4" t="s">
        <v>65</v>
      </c>
      <c r="D54" s="4" t="s">
        <v>139</v>
      </c>
      <c r="E54" s="25" t="s">
        <v>140</v>
      </c>
    </row>
    <row r="55" spans="1:5" ht="12.75">
      <c r="A55" s="21" t="s">
        <v>59</v>
      </c>
      <c r="B55" s="4" t="s">
        <v>138</v>
      </c>
      <c r="C55" s="4" t="s">
        <v>141</v>
      </c>
      <c r="D55" s="4" t="s">
        <v>142</v>
      </c>
      <c r="E55" s="25" t="s">
        <v>143</v>
      </c>
    </row>
    <row r="57" spans="1:2" ht="14.25">
      <c r="A57" s="22"/>
      <c r="B57" s="23" t="s">
        <v>127</v>
      </c>
    </row>
    <row r="58" spans="1:5" ht="15">
      <c r="A58" s="24" t="s">
        <v>119</v>
      </c>
      <c r="B58" s="24" t="s">
        <v>120</v>
      </c>
      <c r="C58" s="24" t="s">
        <v>121</v>
      </c>
      <c r="D58" s="24" t="s">
        <v>122</v>
      </c>
      <c r="E58" s="24" t="s">
        <v>123</v>
      </c>
    </row>
    <row r="59" spans="1:5" ht="12.75">
      <c r="A59" s="21" t="s">
        <v>101</v>
      </c>
      <c r="B59" s="4" t="s">
        <v>127</v>
      </c>
      <c r="C59" s="4" t="s">
        <v>37</v>
      </c>
      <c r="D59" s="4" t="s">
        <v>144</v>
      </c>
      <c r="E59" s="25" t="s">
        <v>145</v>
      </c>
    </row>
    <row r="61" spans="1:2" ht="14.25">
      <c r="A61" s="22"/>
      <c r="B61" s="23" t="s">
        <v>133</v>
      </c>
    </row>
    <row r="62" spans="1:5" ht="15">
      <c r="A62" s="24" t="s">
        <v>119</v>
      </c>
      <c r="B62" s="24" t="s">
        <v>120</v>
      </c>
      <c r="C62" s="24" t="s">
        <v>121</v>
      </c>
      <c r="D62" s="24" t="s">
        <v>122</v>
      </c>
      <c r="E62" s="24" t="s">
        <v>123</v>
      </c>
    </row>
    <row r="63" spans="1:5" ht="12.75">
      <c r="A63" s="21" t="s">
        <v>69</v>
      </c>
      <c r="B63" s="4" t="s">
        <v>146</v>
      </c>
      <c r="C63" s="4" t="s">
        <v>128</v>
      </c>
      <c r="D63" s="4" t="s">
        <v>147</v>
      </c>
      <c r="E63" s="25" t="s">
        <v>148</v>
      </c>
    </row>
    <row r="64" spans="1:5" ht="12.75">
      <c r="A64" s="21" t="s">
        <v>101</v>
      </c>
      <c r="B64" s="4" t="s">
        <v>149</v>
      </c>
      <c r="C64" s="4" t="s">
        <v>37</v>
      </c>
      <c r="D64" s="4" t="s">
        <v>144</v>
      </c>
      <c r="E64" s="25" t="s">
        <v>150</v>
      </c>
    </row>
  </sheetData>
  <sheetProtection/>
  <mergeCells count="19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23:T23"/>
    <mergeCell ref="A5:T5"/>
    <mergeCell ref="A8:T8"/>
    <mergeCell ref="A13:T13"/>
    <mergeCell ref="A16:T16"/>
    <mergeCell ref="A19:T19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9">
      <selection activeCell="F25" sqref="F25:F29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4.375" style="0" bestFit="1" customWidth="1"/>
    <col min="7" max="9" width="6.625" style="0" bestFit="1" customWidth="1"/>
    <col min="10" max="10" width="4.87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41" t="s">
        <v>532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98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13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1"/>
    </row>
    <row r="5" spans="1:13" ht="15">
      <c r="A5" s="38" t="s">
        <v>79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</row>
    <row r="6" spans="1:13" ht="12.75">
      <c r="A6" s="9" t="s">
        <v>533</v>
      </c>
      <c r="B6" s="9" t="s">
        <v>534</v>
      </c>
      <c r="C6" s="9" t="s">
        <v>252</v>
      </c>
      <c r="D6" s="9" t="str">
        <f>"0,7219"</f>
        <v>0,7219</v>
      </c>
      <c r="E6" s="9" t="s">
        <v>205</v>
      </c>
      <c r="F6" s="9" t="s">
        <v>535</v>
      </c>
      <c r="G6" s="10" t="s">
        <v>221</v>
      </c>
      <c r="H6" s="10" t="s">
        <v>427</v>
      </c>
      <c r="I6" s="11" t="s">
        <v>125</v>
      </c>
      <c r="J6" s="11"/>
      <c r="K6" s="9" t="str">
        <f>"162,5"</f>
        <v>162,5</v>
      </c>
      <c r="L6" s="10" t="str">
        <f>"117,3169"</f>
        <v>117,3169</v>
      </c>
      <c r="M6" s="9" t="s">
        <v>28</v>
      </c>
    </row>
    <row r="7" spans="1:13" ht="12.75">
      <c r="A7" s="15" t="s">
        <v>536</v>
      </c>
      <c r="B7" s="15" t="s">
        <v>303</v>
      </c>
      <c r="C7" s="15" t="s">
        <v>304</v>
      </c>
      <c r="D7" s="15" t="str">
        <f>"0,7362"</f>
        <v>0,7362</v>
      </c>
      <c r="E7" s="15" t="s">
        <v>19</v>
      </c>
      <c r="F7" s="15" t="s">
        <v>305</v>
      </c>
      <c r="G7" s="16" t="s">
        <v>74</v>
      </c>
      <c r="H7" s="16" t="s">
        <v>88</v>
      </c>
      <c r="I7" s="16" t="s">
        <v>76</v>
      </c>
      <c r="J7" s="17"/>
      <c r="K7" s="15" t="str">
        <f>"160,0"</f>
        <v>160,0</v>
      </c>
      <c r="L7" s="16" t="str">
        <f>"117,7840"</f>
        <v>117,7840</v>
      </c>
      <c r="M7" s="15" t="s">
        <v>28</v>
      </c>
    </row>
    <row r="8" spans="1:13" ht="12.75">
      <c r="A8" s="4"/>
      <c r="B8" s="4"/>
      <c r="C8" s="4"/>
      <c r="D8" s="4"/>
      <c r="E8" s="4"/>
      <c r="F8" s="4"/>
      <c r="G8" s="3"/>
      <c r="H8" s="3"/>
      <c r="I8" s="3"/>
      <c r="J8" s="3"/>
      <c r="K8" s="4"/>
      <c r="L8" s="3"/>
      <c r="M8" s="4"/>
    </row>
    <row r="9" spans="1:13" ht="15">
      <c r="A9" s="37" t="s">
        <v>169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4"/>
    </row>
    <row r="10" spans="1:13" ht="12.75">
      <c r="A10" s="6" t="s">
        <v>537</v>
      </c>
      <c r="B10" s="6" t="s">
        <v>538</v>
      </c>
      <c r="C10" s="6" t="s">
        <v>539</v>
      </c>
      <c r="D10" s="6" t="str">
        <f>"0,6895"</f>
        <v>0,6895</v>
      </c>
      <c r="E10" s="6" t="s">
        <v>243</v>
      </c>
      <c r="F10" s="6" t="s">
        <v>244</v>
      </c>
      <c r="G10" s="7" t="s">
        <v>142</v>
      </c>
      <c r="H10" s="7" t="s">
        <v>175</v>
      </c>
      <c r="I10" s="7" t="s">
        <v>540</v>
      </c>
      <c r="J10" s="8"/>
      <c r="K10" s="6" t="str">
        <f>"225,0"</f>
        <v>225,0</v>
      </c>
      <c r="L10" s="7" t="str">
        <f>"155,1375"</f>
        <v>155,1375</v>
      </c>
      <c r="M10" s="6" t="s">
        <v>28</v>
      </c>
    </row>
    <row r="11" spans="1:13" ht="12.75">
      <c r="A11" s="4"/>
      <c r="B11" s="4"/>
      <c r="C11" s="4"/>
      <c r="D11" s="4"/>
      <c r="E11" s="4"/>
      <c r="F11" s="4"/>
      <c r="G11" s="3"/>
      <c r="H11" s="3"/>
      <c r="I11" s="3"/>
      <c r="J11" s="3"/>
      <c r="K11" s="4"/>
      <c r="L11" s="3"/>
      <c r="M11" s="4"/>
    </row>
    <row r="12" spans="1:13" ht="15">
      <c r="A12" s="37" t="s">
        <v>169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"/>
    </row>
    <row r="13" spans="1:13" ht="12.75">
      <c r="A13" s="6" t="s">
        <v>183</v>
      </c>
      <c r="B13" s="6" t="s">
        <v>184</v>
      </c>
      <c r="C13" s="6" t="s">
        <v>185</v>
      </c>
      <c r="D13" s="6" t="str">
        <f>"0,6454"</f>
        <v>0,6454</v>
      </c>
      <c r="E13" s="6" t="s">
        <v>47</v>
      </c>
      <c r="F13" s="6" t="s">
        <v>48</v>
      </c>
      <c r="G13" s="7" t="s">
        <v>176</v>
      </c>
      <c r="H13" s="8"/>
      <c r="I13" s="8"/>
      <c r="J13" s="8"/>
      <c r="K13" s="6" t="str">
        <f>"220,0"</f>
        <v>220,0</v>
      </c>
      <c r="L13" s="7" t="str">
        <f>"181,8866"</f>
        <v>181,8866</v>
      </c>
      <c r="M13" s="6" t="s">
        <v>28</v>
      </c>
    </row>
    <row r="14" spans="1:13" ht="12.75">
      <c r="A14" s="4"/>
      <c r="B14" s="4"/>
      <c r="C14" s="4"/>
      <c r="D14" s="4"/>
      <c r="E14" s="4"/>
      <c r="F14" s="4"/>
      <c r="G14" s="3"/>
      <c r="H14" s="3"/>
      <c r="I14" s="3"/>
      <c r="J14" s="3"/>
      <c r="K14" s="4"/>
      <c r="L14" s="3"/>
      <c r="M14" s="4"/>
    </row>
    <row r="15" spans="1:13" ht="15">
      <c r="A15" s="37" t="s">
        <v>261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"/>
    </row>
    <row r="16" spans="1:13" ht="12.75">
      <c r="A16" s="6" t="s">
        <v>541</v>
      </c>
      <c r="B16" s="6" t="s">
        <v>542</v>
      </c>
      <c r="C16" s="6" t="s">
        <v>543</v>
      </c>
      <c r="D16" s="6" t="str">
        <f>"0,5973"</f>
        <v>0,5973</v>
      </c>
      <c r="E16" s="6" t="s">
        <v>19</v>
      </c>
      <c r="F16" s="6" t="s">
        <v>20</v>
      </c>
      <c r="G16" s="7" t="s">
        <v>544</v>
      </c>
      <c r="H16" s="7" t="s">
        <v>129</v>
      </c>
      <c r="I16" s="8" t="s">
        <v>259</v>
      </c>
      <c r="J16" s="8"/>
      <c r="K16" s="6" t="str">
        <f>"245,0"</f>
        <v>245,0</v>
      </c>
      <c r="L16" s="7" t="str">
        <f>"146,3385"</f>
        <v>146,3385</v>
      </c>
      <c r="M16" s="6" t="s">
        <v>28</v>
      </c>
    </row>
    <row r="17" spans="1:13" ht="12.75">
      <c r="A17" s="4"/>
      <c r="B17" s="4"/>
      <c r="C17" s="4"/>
      <c r="D17" s="4"/>
      <c r="E17" s="4"/>
      <c r="F17" s="4"/>
      <c r="G17" s="3"/>
      <c r="H17" s="3"/>
      <c r="I17" s="3"/>
      <c r="J17" s="3"/>
      <c r="K17" s="4"/>
      <c r="L17" s="3"/>
      <c r="M17" s="4"/>
    </row>
    <row r="18" spans="1:13" ht="15">
      <c r="A18" s="37" t="s">
        <v>100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4"/>
    </row>
    <row r="19" spans="1:13" ht="12.75">
      <c r="A19" s="9" t="s">
        <v>545</v>
      </c>
      <c r="B19" s="9" t="s">
        <v>546</v>
      </c>
      <c r="C19" s="9" t="s">
        <v>547</v>
      </c>
      <c r="D19" s="9" t="str">
        <f>"0,5648"</f>
        <v>0,5648</v>
      </c>
      <c r="E19" s="9" t="s">
        <v>19</v>
      </c>
      <c r="F19" s="9" t="s">
        <v>20</v>
      </c>
      <c r="G19" s="10" t="s">
        <v>269</v>
      </c>
      <c r="H19" s="10" t="s">
        <v>548</v>
      </c>
      <c r="I19" s="10" t="s">
        <v>549</v>
      </c>
      <c r="J19" s="11"/>
      <c r="K19" s="9" t="str">
        <f>"270,0"</f>
        <v>270,0</v>
      </c>
      <c r="L19" s="10" t="str">
        <f>"152,4960"</f>
        <v>152,4960</v>
      </c>
      <c r="M19" s="9" t="s">
        <v>28</v>
      </c>
    </row>
    <row r="20" spans="1:13" ht="12.75">
      <c r="A20" s="15" t="s">
        <v>550</v>
      </c>
      <c r="B20" s="15" t="s">
        <v>551</v>
      </c>
      <c r="C20" s="15" t="s">
        <v>552</v>
      </c>
      <c r="D20" s="15" t="str">
        <f>"0,5613"</f>
        <v>0,5613</v>
      </c>
      <c r="E20" s="15" t="s">
        <v>19</v>
      </c>
      <c r="F20" s="15" t="s">
        <v>20</v>
      </c>
      <c r="G20" s="16" t="s">
        <v>540</v>
      </c>
      <c r="H20" s="17" t="s">
        <v>129</v>
      </c>
      <c r="I20" s="17" t="s">
        <v>129</v>
      </c>
      <c r="J20" s="17"/>
      <c r="K20" s="15" t="str">
        <f>"225,0"</f>
        <v>225,0</v>
      </c>
      <c r="L20" s="16" t="str">
        <f>"126,2925"</f>
        <v>126,2925</v>
      </c>
      <c r="M20" s="15" t="s">
        <v>28</v>
      </c>
    </row>
    <row r="21" spans="1:13" ht="12.75">
      <c r="A21" s="4"/>
      <c r="B21" s="4"/>
      <c r="C21" s="4"/>
      <c r="D21" s="4"/>
      <c r="E21" s="4"/>
      <c r="F21" s="4"/>
      <c r="G21" s="3"/>
      <c r="H21" s="3"/>
      <c r="I21" s="3"/>
      <c r="J21" s="3"/>
      <c r="K21" s="4"/>
      <c r="L21" s="3"/>
      <c r="M21" s="4"/>
    </row>
    <row r="22" spans="1:13" ht="15">
      <c r="A22" s="37" t="s">
        <v>270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"/>
    </row>
    <row r="23" spans="1:13" ht="12.75">
      <c r="A23" s="6" t="s">
        <v>553</v>
      </c>
      <c r="B23" s="6" t="s">
        <v>554</v>
      </c>
      <c r="C23" s="6" t="s">
        <v>555</v>
      </c>
      <c r="D23" s="6" t="str">
        <f>"0,5393"</f>
        <v>0,5393</v>
      </c>
      <c r="E23" s="6" t="s">
        <v>243</v>
      </c>
      <c r="F23" s="6" t="s">
        <v>556</v>
      </c>
      <c r="G23" s="8" t="s">
        <v>557</v>
      </c>
      <c r="H23" s="7" t="s">
        <v>558</v>
      </c>
      <c r="I23" s="8" t="s">
        <v>559</v>
      </c>
      <c r="J23" s="8"/>
      <c r="K23" s="6" t="str">
        <f>"300,0"</f>
        <v>300,0</v>
      </c>
      <c r="L23" s="7" t="str">
        <f>"161,7900"</f>
        <v>161,7900</v>
      </c>
      <c r="M23" s="6" t="s">
        <v>28</v>
      </c>
    </row>
    <row r="24" spans="1:13" ht="12.75">
      <c r="A24" s="4"/>
      <c r="B24" s="4"/>
      <c r="C24" s="4"/>
      <c r="D24" s="4"/>
      <c r="E24" s="4"/>
      <c r="F24" s="4"/>
      <c r="G24" s="3"/>
      <c r="H24" s="3"/>
      <c r="I24" s="3"/>
      <c r="J24" s="3"/>
      <c r="K24" s="4"/>
      <c r="L24" s="3"/>
      <c r="M24" s="4"/>
    </row>
    <row r="25" spans="1:13" ht="15">
      <c r="A25" s="4"/>
      <c r="B25" s="4"/>
      <c r="C25" s="4"/>
      <c r="D25" s="4"/>
      <c r="E25" s="18" t="s">
        <v>112</v>
      </c>
      <c r="F25" s="18" t="s">
        <v>151</v>
      </c>
      <c r="G25" s="3"/>
      <c r="H25" s="3"/>
      <c r="I25" s="3"/>
      <c r="J25" s="3"/>
      <c r="K25" s="4"/>
      <c r="L25" s="3"/>
      <c r="M25" s="4"/>
    </row>
    <row r="26" spans="1:13" ht="15">
      <c r="A26" s="4"/>
      <c r="B26" s="4"/>
      <c r="C26" s="4"/>
      <c r="D26" s="4"/>
      <c r="E26" s="18" t="s">
        <v>113</v>
      </c>
      <c r="F26" s="18" t="s">
        <v>152</v>
      </c>
      <c r="G26" s="3"/>
      <c r="H26" s="3"/>
      <c r="I26" s="3"/>
      <c r="J26" s="3"/>
      <c r="K26" s="4"/>
      <c r="L26" s="3"/>
      <c r="M26" s="4"/>
    </row>
    <row r="27" spans="1:13" ht="15">
      <c r="A27" s="4"/>
      <c r="B27" s="4"/>
      <c r="C27" s="4"/>
      <c r="D27" s="4"/>
      <c r="E27" s="18" t="s">
        <v>114</v>
      </c>
      <c r="F27" s="18" t="s">
        <v>153</v>
      </c>
      <c r="G27" s="3"/>
      <c r="H27" s="3"/>
      <c r="I27" s="3"/>
      <c r="J27" s="3"/>
      <c r="K27" s="4"/>
      <c r="L27" s="3"/>
      <c r="M27" s="4"/>
    </row>
    <row r="28" spans="1:13" ht="15">
      <c r="A28" s="4"/>
      <c r="B28" s="4"/>
      <c r="C28" s="4"/>
      <c r="D28" s="4"/>
      <c r="E28" s="18" t="s">
        <v>115</v>
      </c>
      <c r="F28" s="18" t="s">
        <v>154</v>
      </c>
      <c r="G28" s="3"/>
      <c r="H28" s="3"/>
      <c r="I28" s="3"/>
      <c r="J28" s="3"/>
      <c r="K28" s="4"/>
      <c r="L28" s="3"/>
      <c r="M28" s="4"/>
    </row>
    <row r="29" spans="1:13" ht="15">
      <c r="A29" s="4"/>
      <c r="B29" s="4"/>
      <c r="C29" s="4"/>
      <c r="D29" s="4"/>
      <c r="E29" s="18" t="s">
        <v>115</v>
      </c>
      <c r="F29" s="18" t="s">
        <v>155</v>
      </c>
      <c r="G29" s="3"/>
      <c r="H29" s="3"/>
      <c r="I29" s="3"/>
      <c r="J29" s="3"/>
      <c r="K29" s="4"/>
      <c r="L29" s="3"/>
      <c r="M29" s="4"/>
    </row>
    <row r="30" spans="1:13" ht="15">
      <c r="A30" s="4"/>
      <c r="B30" s="4"/>
      <c r="C30" s="4"/>
      <c r="D30" s="4"/>
      <c r="E30" s="18"/>
      <c r="F30" s="4"/>
      <c r="G30" s="3"/>
      <c r="H30" s="3"/>
      <c r="I30" s="3"/>
      <c r="J30" s="3"/>
      <c r="K30" s="4"/>
      <c r="L30" s="3"/>
      <c r="M30" s="4"/>
    </row>
    <row r="31" spans="1:13" ht="15">
      <c r="A31" s="4"/>
      <c r="B31" s="4"/>
      <c r="C31" s="4"/>
      <c r="D31" s="4"/>
      <c r="E31" s="18"/>
      <c r="F31" s="4"/>
      <c r="G31" s="3"/>
      <c r="H31" s="3"/>
      <c r="I31" s="3"/>
      <c r="J31" s="3"/>
      <c r="K31" s="4"/>
      <c r="L31" s="3"/>
      <c r="M31" s="4"/>
    </row>
    <row r="32" spans="1:13" ht="12.75">
      <c r="A32" s="4"/>
      <c r="B32" s="4"/>
      <c r="C32" s="4"/>
      <c r="D32" s="4"/>
      <c r="E32" s="4"/>
      <c r="F32" s="4"/>
      <c r="G32" s="3"/>
      <c r="H32" s="3"/>
      <c r="I32" s="3"/>
      <c r="J32" s="3"/>
      <c r="K32" s="4"/>
      <c r="L32" s="3"/>
      <c r="M32" s="4"/>
    </row>
    <row r="33" spans="1:13" ht="18">
      <c r="A33" s="19" t="s">
        <v>116</v>
      </c>
      <c r="B33" s="19"/>
      <c r="C33" s="4"/>
      <c r="D33" s="4"/>
      <c r="E33" s="4"/>
      <c r="F33" s="4"/>
      <c r="G33" s="3"/>
      <c r="H33" s="3"/>
      <c r="I33" s="3"/>
      <c r="J33" s="3"/>
      <c r="K33" s="4"/>
      <c r="L33" s="3"/>
      <c r="M33" s="4"/>
    </row>
    <row r="34" spans="1:13" ht="15">
      <c r="A34" s="20" t="s">
        <v>117</v>
      </c>
      <c r="B34" s="20"/>
      <c r="C34" s="4"/>
      <c r="D34" s="4"/>
      <c r="E34" s="4"/>
      <c r="F34" s="4"/>
      <c r="G34" s="3"/>
      <c r="H34" s="3"/>
      <c r="I34" s="3"/>
      <c r="J34" s="3"/>
      <c r="K34" s="4"/>
      <c r="L34" s="3"/>
      <c r="M34" s="4"/>
    </row>
    <row r="35" spans="1:13" ht="14.25">
      <c r="A35" s="22"/>
      <c r="B35" s="23" t="s">
        <v>127</v>
      </c>
      <c r="C35" s="4"/>
      <c r="D35" s="4"/>
      <c r="E35" s="4"/>
      <c r="F35" s="4"/>
      <c r="G35" s="3"/>
      <c r="H35" s="3"/>
      <c r="I35" s="3"/>
      <c r="J35" s="3"/>
      <c r="K35" s="4"/>
      <c r="L35" s="3"/>
      <c r="M35" s="4"/>
    </row>
    <row r="36" spans="1:13" ht="15">
      <c r="A36" s="24" t="s">
        <v>119</v>
      </c>
      <c r="B36" s="24" t="s">
        <v>120</v>
      </c>
      <c r="C36" s="24" t="s">
        <v>121</v>
      </c>
      <c r="D36" s="24" t="s">
        <v>122</v>
      </c>
      <c r="E36" s="24" t="s">
        <v>123</v>
      </c>
      <c r="F36" s="4"/>
      <c r="G36" s="3"/>
      <c r="H36" s="3"/>
      <c r="I36" s="3"/>
      <c r="J36" s="3"/>
      <c r="K36" s="4"/>
      <c r="L36" s="3"/>
      <c r="M36" s="4"/>
    </row>
    <row r="37" spans="1:13" ht="12.75">
      <c r="A37" s="21" t="s">
        <v>560</v>
      </c>
      <c r="B37" s="4" t="s">
        <v>127</v>
      </c>
      <c r="C37" s="4" t="s">
        <v>193</v>
      </c>
      <c r="D37" s="4" t="s">
        <v>540</v>
      </c>
      <c r="E37" s="25" t="s">
        <v>561</v>
      </c>
      <c r="F37" s="4"/>
      <c r="G37" s="3"/>
      <c r="H37" s="3"/>
      <c r="I37" s="3"/>
      <c r="J37" s="3"/>
      <c r="K37" s="4"/>
      <c r="L37" s="3"/>
      <c r="M37" s="4"/>
    </row>
    <row r="38" spans="1:13" ht="12.75">
      <c r="A38" s="21" t="s">
        <v>344</v>
      </c>
      <c r="B38" s="4" t="s">
        <v>127</v>
      </c>
      <c r="C38" s="4" t="s">
        <v>65</v>
      </c>
      <c r="D38" s="4" t="s">
        <v>107</v>
      </c>
      <c r="E38" s="25" t="s">
        <v>562</v>
      </c>
      <c r="F38" s="4"/>
      <c r="G38" s="3"/>
      <c r="H38" s="3"/>
      <c r="I38" s="3"/>
      <c r="J38" s="3"/>
      <c r="K38" s="4"/>
      <c r="L38" s="3"/>
      <c r="M38" s="4"/>
    </row>
    <row r="39" spans="1:13" ht="12.75">
      <c r="A39" s="21" t="s">
        <v>563</v>
      </c>
      <c r="B39" s="4" t="s">
        <v>127</v>
      </c>
      <c r="C39" s="4" t="s">
        <v>65</v>
      </c>
      <c r="D39" s="4" t="s">
        <v>427</v>
      </c>
      <c r="E39" s="25" t="s">
        <v>564</v>
      </c>
      <c r="F39" s="4"/>
      <c r="G39" s="3"/>
      <c r="H39" s="3"/>
      <c r="I39" s="3"/>
      <c r="J39" s="3"/>
      <c r="K39" s="4"/>
      <c r="L39" s="3"/>
      <c r="M39" s="4"/>
    </row>
    <row r="40" spans="1:13" ht="12.75">
      <c r="A40" s="4"/>
      <c r="B40" s="4"/>
      <c r="C40" s="4"/>
      <c r="D40" s="4"/>
      <c r="E40" s="4"/>
      <c r="F40" s="4"/>
      <c r="G40" s="3"/>
      <c r="H40" s="3"/>
      <c r="I40" s="3"/>
      <c r="J40" s="3"/>
      <c r="K40" s="4"/>
      <c r="L40" s="3"/>
      <c r="M40" s="4"/>
    </row>
    <row r="41" spans="1:13" ht="12.75">
      <c r="A41" s="4"/>
      <c r="B41" s="4"/>
      <c r="C41" s="4"/>
      <c r="D41" s="4"/>
      <c r="E41" s="4"/>
      <c r="F41" s="4"/>
      <c r="G41" s="3"/>
      <c r="H41" s="3"/>
      <c r="I41" s="3"/>
      <c r="J41" s="3"/>
      <c r="K41" s="4"/>
      <c r="L41" s="3"/>
      <c r="M41" s="4"/>
    </row>
    <row r="42" spans="1:13" ht="15">
      <c r="A42" s="20" t="s">
        <v>136</v>
      </c>
      <c r="B42" s="20"/>
      <c r="C42" s="4"/>
      <c r="D42" s="4"/>
      <c r="E42" s="4"/>
      <c r="F42" s="4"/>
      <c r="G42" s="3"/>
      <c r="H42" s="3"/>
      <c r="I42" s="3"/>
      <c r="J42" s="3"/>
      <c r="K42" s="4"/>
      <c r="L42" s="3"/>
      <c r="M42" s="4"/>
    </row>
    <row r="43" spans="1:13" ht="14.25">
      <c r="A43" s="22"/>
      <c r="B43" s="23" t="s">
        <v>127</v>
      </c>
      <c r="C43" s="4"/>
      <c r="D43" s="4"/>
      <c r="E43" s="4"/>
      <c r="F43" s="4"/>
      <c r="G43" s="3"/>
      <c r="H43" s="3"/>
      <c r="I43" s="3"/>
      <c r="J43" s="3"/>
      <c r="K43" s="4"/>
      <c r="L43" s="3"/>
      <c r="M43" s="4"/>
    </row>
    <row r="44" spans="1:13" ht="15">
      <c r="A44" s="24" t="s">
        <v>119</v>
      </c>
      <c r="B44" s="24" t="s">
        <v>120</v>
      </c>
      <c r="C44" s="24" t="s">
        <v>121</v>
      </c>
      <c r="D44" s="24" t="s">
        <v>122</v>
      </c>
      <c r="E44" s="24" t="s">
        <v>123</v>
      </c>
      <c r="F44" s="4"/>
      <c r="G44" s="3"/>
      <c r="H44" s="3"/>
      <c r="I44" s="3"/>
      <c r="J44" s="3"/>
      <c r="K44" s="4"/>
      <c r="L44" s="3"/>
      <c r="M44" s="4"/>
    </row>
    <row r="45" spans="1:13" ht="12.75">
      <c r="A45" s="21" t="s">
        <v>565</v>
      </c>
      <c r="B45" s="4" t="s">
        <v>127</v>
      </c>
      <c r="C45" s="4" t="s">
        <v>54</v>
      </c>
      <c r="D45" s="4" t="s">
        <v>558</v>
      </c>
      <c r="E45" s="25" t="s">
        <v>566</v>
      </c>
      <c r="F45" s="4"/>
      <c r="G45" s="3"/>
      <c r="H45" s="3"/>
      <c r="I45" s="3"/>
      <c r="J45" s="3"/>
      <c r="K45" s="4"/>
      <c r="L45" s="3"/>
      <c r="M45" s="4"/>
    </row>
    <row r="46" spans="1:13" ht="12.75">
      <c r="A46" s="21" t="s">
        <v>567</v>
      </c>
      <c r="B46" s="4" t="s">
        <v>127</v>
      </c>
      <c r="C46" s="4" t="s">
        <v>37</v>
      </c>
      <c r="D46" s="4" t="s">
        <v>110</v>
      </c>
      <c r="E46" s="25" t="s">
        <v>568</v>
      </c>
      <c r="F46" s="4"/>
      <c r="G46" s="3"/>
      <c r="H46" s="3"/>
      <c r="I46" s="3"/>
      <c r="J46" s="3"/>
      <c r="K46" s="4"/>
      <c r="L46" s="3"/>
      <c r="M46" s="4"/>
    </row>
    <row r="47" spans="1:13" ht="12.75">
      <c r="A47" s="21" t="s">
        <v>569</v>
      </c>
      <c r="B47" s="4" t="s">
        <v>127</v>
      </c>
      <c r="C47" s="4" t="s">
        <v>40</v>
      </c>
      <c r="D47" s="4" t="s">
        <v>129</v>
      </c>
      <c r="E47" s="25" t="s">
        <v>570</v>
      </c>
      <c r="F47" s="4"/>
      <c r="G47" s="3"/>
      <c r="H47" s="3"/>
      <c r="I47" s="3"/>
      <c r="J47" s="3"/>
      <c r="K47" s="4"/>
      <c r="L47" s="3"/>
      <c r="M47" s="4"/>
    </row>
    <row r="48" spans="1:13" ht="12.75">
      <c r="A48" s="4"/>
      <c r="B48" s="4"/>
      <c r="C48" s="4"/>
      <c r="D48" s="4"/>
      <c r="E48" s="4"/>
      <c r="F48" s="4"/>
      <c r="G48" s="3"/>
      <c r="H48" s="3"/>
      <c r="I48" s="3"/>
      <c r="J48" s="3"/>
      <c r="K48" s="4"/>
      <c r="L48" s="3"/>
      <c r="M48" s="4"/>
    </row>
    <row r="49" spans="1:13" ht="14.25">
      <c r="A49" s="22"/>
      <c r="B49" s="23" t="s">
        <v>133</v>
      </c>
      <c r="C49" s="4"/>
      <c r="D49" s="4"/>
      <c r="E49" s="4"/>
      <c r="F49" s="4"/>
      <c r="G49" s="3"/>
      <c r="H49" s="3"/>
      <c r="I49" s="3"/>
      <c r="J49" s="3"/>
      <c r="K49" s="4"/>
      <c r="L49" s="3"/>
      <c r="M49" s="4"/>
    </row>
    <row r="50" spans="1:13" ht="15">
      <c r="A50" s="24" t="s">
        <v>119</v>
      </c>
      <c r="B50" s="24" t="s">
        <v>120</v>
      </c>
      <c r="C50" s="24" t="s">
        <v>121</v>
      </c>
      <c r="D50" s="24" t="s">
        <v>122</v>
      </c>
      <c r="E50" s="24" t="s">
        <v>123</v>
      </c>
      <c r="F50" s="4"/>
      <c r="G50" s="3"/>
      <c r="H50" s="3"/>
      <c r="I50" s="3"/>
      <c r="J50" s="3"/>
      <c r="K50" s="4"/>
      <c r="L50" s="3"/>
      <c r="M50" s="4"/>
    </row>
    <row r="51" spans="1:13" ht="12.75">
      <c r="A51" s="21" t="s">
        <v>196</v>
      </c>
      <c r="B51" s="4" t="s">
        <v>197</v>
      </c>
      <c r="C51" s="4" t="s">
        <v>193</v>
      </c>
      <c r="D51" s="4" t="s">
        <v>176</v>
      </c>
      <c r="E51" s="25" t="s">
        <v>571</v>
      </c>
      <c r="F51" s="4"/>
      <c r="G51" s="3"/>
      <c r="H51" s="3"/>
      <c r="I51" s="3"/>
      <c r="J51" s="3"/>
      <c r="K51" s="4"/>
      <c r="L51" s="3"/>
      <c r="M51" s="4"/>
    </row>
    <row r="52" spans="1:13" ht="12.75">
      <c r="A52" s="21" t="s">
        <v>572</v>
      </c>
      <c r="B52" s="4" t="s">
        <v>134</v>
      </c>
      <c r="C52" s="4" t="s">
        <v>37</v>
      </c>
      <c r="D52" s="4" t="s">
        <v>540</v>
      </c>
      <c r="E52" s="25" t="s">
        <v>573</v>
      </c>
      <c r="F52" s="4"/>
      <c r="G52" s="3"/>
      <c r="H52" s="3"/>
      <c r="I52" s="3"/>
      <c r="J52" s="3"/>
      <c r="K52" s="4"/>
      <c r="L52" s="3"/>
      <c r="M52" s="4"/>
    </row>
  </sheetData>
  <sheetProtection/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2:L22"/>
    <mergeCell ref="M3:M4"/>
    <mergeCell ref="A5:L5"/>
    <mergeCell ref="A9:L9"/>
    <mergeCell ref="A12:L12"/>
    <mergeCell ref="A15:L15"/>
    <mergeCell ref="A18:L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6">
      <selection activeCell="F37" sqref="F37:F41"/>
    </sheetView>
  </sheetViews>
  <sheetFormatPr defaultColWidth="9.00390625" defaultRowHeight="12.75"/>
  <cols>
    <col min="1" max="1" width="26.00390625" style="0" bestFit="1" customWidth="1"/>
    <col min="2" max="2" width="29.0039062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4.375" style="0" bestFit="1" customWidth="1"/>
    <col min="7" max="8" width="6.625" style="0" bestFit="1" customWidth="1"/>
    <col min="9" max="10" width="5.62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41" t="s">
        <v>574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96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13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1"/>
    </row>
    <row r="5" spans="1:13" ht="15">
      <c r="A5" s="38" t="s">
        <v>239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</row>
    <row r="6" spans="1:13" ht="12.75">
      <c r="A6" s="6" t="s">
        <v>240</v>
      </c>
      <c r="B6" s="6" t="s">
        <v>241</v>
      </c>
      <c r="C6" s="6" t="s">
        <v>242</v>
      </c>
      <c r="D6" s="6" t="str">
        <f>"0,9173"</f>
        <v>0,9173</v>
      </c>
      <c r="E6" s="6" t="s">
        <v>19</v>
      </c>
      <c r="F6" s="6" t="s">
        <v>244</v>
      </c>
      <c r="G6" s="7" t="s">
        <v>40</v>
      </c>
      <c r="H6" s="7" t="s">
        <v>42</v>
      </c>
      <c r="I6" s="8" t="s">
        <v>417</v>
      </c>
      <c r="J6" s="8"/>
      <c r="K6" s="6" t="str">
        <f>"100,0"</f>
        <v>100,0</v>
      </c>
      <c r="L6" s="7" t="str">
        <f>"166,0403"</f>
        <v>166,0403</v>
      </c>
      <c r="M6" s="6" t="s">
        <v>28</v>
      </c>
    </row>
    <row r="7" spans="1:13" ht="12.75">
      <c r="A7" s="4"/>
      <c r="B7" s="4"/>
      <c r="C7" s="4"/>
      <c r="D7" s="4"/>
      <c r="E7" s="4"/>
      <c r="F7" s="4"/>
      <c r="G7" s="3"/>
      <c r="H7" s="3"/>
      <c r="I7" s="3"/>
      <c r="J7" s="3"/>
      <c r="K7" s="4"/>
      <c r="L7" s="3"/>
      <c r="M7" s="4"/>
    </row>
    <row r="8" spans="1:13" ht="15">
      <c r="A8" s="37" t="s">
        <v>29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4"/>
    </row>
    <row r="9" spans="1:13" ht="12.75">
      <c r="A9" s="6" t="s">
        <v>575</v>
      </c>
      <c r="B9" s="6" t="s">
        <v>45</v>
      </c>
      <c r="C9" s="6" t="s">
        <v>46</v>
      </c>
      <c r="D9" s="6" t="str">
        <f>"0,7862"</f>
        <v>0,7862</v>
      </c>
      <c r="E9" s="6" t="s">
        <v>47</v>
      </c>
      <c r="F9" s="6" t="s">
        <v>48</v>
      </c>
      <c r="G9" s="7" t="s">
        <v>55</v>
      </c>
      <c r="H9" s="8"/>
      <c r="I9" s="8"/>
      <c r="J9" s="8"/>
      <c r="K9" s="6" t="str">
        <f>"120,0"</f>
        <v>120,0</v>
      </c>
      <c r="L9" s="7" t="str">
        <f>"94,3440"</f>
        <v>94,3440</v>
      </c>
      <c r="M9" s="6" t="s">
        <v>28</v>
      </c>
    </row>
    <row r="10" spans="1:13" ht="12.75">
      <c r="A10" s="4"/>
      <c r="B10" s="4"/>
      <c r="C10" s="4"/>
      <c r="D10" s="4"/>
      <c r="E10" s="4"/>
      <c r="F10" s="4"/>
      <c r="G10" s="3"/>
      <c r="H10" s="3"/>
      <c r="I10" s="3"/>
      <c r="J10" s="3"/>
      <c r="K10" s="4"/>
      <c r="L10" s="3"/>
      <c r="M10" s="4"/>
    </row>
    <row r="11" spans="1:13" ht="15">
      <c r="A11" s="37" t="s">
        <v>79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"/>
    </row>
    <row r="12" spans="1:13" ht="12.75">
      <c r="A12" s="6" t="s">
        <v>382</v>
      </c>
      <c r="B12" s="6" t="s">
        <v>383</v>
      </c>
      <c r="C12" s="6" t="s">
        <v>384</v>
      </c>
      <c r="D12" s="6" t="str">
        <f>"0,7662"</f>
        <v>0,7662</v>
      </c>
      <c r="E12" s="6" t="s">
        <v>93</v>
      </c>
      <c r="F12" s="6" t="s">
        <v>94</v>
      </c>
      <c r="G12" s="7" t="s">
        <v>37</v>
      </c>
      <c r="H12" s="7" t="s">
        <v>413</v>
      </c>
      <c r="I12" s="7" t="s">
        <v>188</v>
      </c>
      <c r="J12" s="8"/>
      <c r="K12" s="6" t="str">
        <f>"117,5"</f>
        <v>117,5</v>
      </c>
      <c r="L12" s="7" t="str">
        <f>"97,2308"</f>
        <v>97,2308</v>
      </c>
      <c r="M12" s="6" t="s">
        <v>28</v>
      </c>
    </row>
    <row r="13" spans="1:13" ht="12.75">
      <c r="A13" s="4"/>
      <c r="B13" s="4"/>
      <c r="C13" s="4"/>
      <c r="D13" s="4"/>
      <c r="E13" s="4"/>
      <c r="F13" s="4"/>
      <c r="G13" s="3"/>
      <c r="H13" s="3"/>
      <c r="I13" s="3"/>
      <c r="J13" s="3"/>
      <c r="K13" s="4"/>
      <c r="L13" s="3"/>
      <c r="M13" s="4"/>
    </row>
    <row r="14" spans="1:13" ht="15">
      <c r="A14" s="37" t="s">
        <v>14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4"/>
    </row>
    <row r="15" spans="1:13" ht="12.75">
      <c r="A15" s="6" t="s">
        <v>576</v>
      </c>
      <c r="B15" s="6" t="s">
        <v>577</v>
      </c>
      <c r="C15" s="6" t="s">
        <v>578</v>
      </c>
      <c r="D15" s="6" t="str">
        <f>"0,8293"</f>
        <v>0,8293</v>
      </c>
      <c r="E15" s="6" t="s">
        <v>579</v>
      </c>
      <c r="F15" s="6" t="s">
        <v>305</v>
      </c>
      <c r="G15" s="7" t="s">
        <v>580</v>
      </c>
      <c r="H15" s="7" t="s">
        <v>581</v>
      </c>
      <c r="I15" s="8" t="s">
        <v>392</v>
      </c>
      <c r="J15" s="8"/>
      <c r="K15" s="6" t="str">
        <f>"122,5"</f>
        <v>122,5</v>
      </c>
      <c r="L15" s="7" t="str">
        <f>"124,9623"</f>
        <v>124,9623</v>
      </c>
      <c r="M15" s="6" t="s">
        <v>28</v>
      </c>
    </row>
    <row r="16" spans="1:13" ht="12.75">
      <c r="A16" s="4"/>
      <c r="B16" s="4"/>
      <c r="C16" s="4"/>
      <c r="D16" s="4"/>
      <c r="E16" s="4"/>
      <c r="F16" s="4"/>
      <c r="G16" s="3"/>
      <c r="H16" s="3"/>
      <c r="I16" s="3"/>
      <c r="J16" s="3"/>
      <c r="K16" s="4"/>
      <c r="L16" s="3"/>
      <c r="M16" s="4"/>
    </row>
    <row r="17" spans="1:13" ht="15">
      <c r="A17" s="37" t="s">
        <v>29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4"/>
    </row>
    <row r="18" spans="1:13" ht="12.75">
      <c r="A18" s="9" t="s">
        <v>582</v>
      </c>
      <c r="B18" s="9" t="s">
        <v>583</v>
      </c>
      <c r="C18" s="9" t="s">
        <v>584</v>
      </c>
      <c r="D18" s="9" t="str">
        <f>"0,7642"</f>
        <v>0,7642</v>
      </c>
      <c r="E18" s="9" t="s">
        <v>379</v>
      </c>
      <c r="F18" s="9" t="s">
        <v>64</v>
      </c>
      <c r="G18" s="10" t="s">
        <v>392</v>
      </c>
      <c r="H18" s="10" t="s">
        <v>87</v>
      </c>
      <c r="I18" s="10" t="s">
        <v>585</v>
      </c>
      <c r="J18" s="11"/>
      <c r="K18" s="9" t="str">
        <f>"147,5"</f>
        <v>147,5</v>
      </c>
      <c r="L18" s="10" t="str">
        <f>"121,7291"</f>
        <v>121,7291</v>
      </c>
      <c r="M18" s="9" t="s">
        <v>28</v>
      </c>
    </row>
    <row r="19" spans="1:13" ht="12.75">
      <c r="A19" s="15" t="s">
        <v>70</v>
      </c>
      <c r="B19" s="15" t="s">
        <v>71</v>
      </c>
      <c r="C19" s="15" t="s">
        <v>72</v>
      </c>
      <c r="D19" s="15" t="str">
        <f>"0,7297"</f>
        <v>0,7297</v>
      </c>
      <c r="E19" s="15" t="s">
        <v>19</v>
      </c>
      <c r="F19" s="15" t="s">
        <v>73</v>
      </c>
      <c r="G19" s="16" t="s">
        <v>189</v>
      </c>
      <c r="H19" s="17"/>
      <c r="I19" s="17"/>
      <c r="J19" s="17"/>
      <c r="K19" s="15" t="str">
        <f>"200,0"</f>
        <v>200,0</v>
      </c>
      <c r="L19" s="16" t="str">
        <f>"248,0980"</f>
        <v>248,0980</v>
      </c>
      <c r="M19" s="15" t="s">
        <v>28</v>
      </c>
    </row>
    <row r="20" spans="1:13" ht="12.75">
      <c r="A20" s="4"/>
      <c r="B20" s="4"/>
      <c r="C20" s="4"/>
      <c r="D20" s="4"/>
      <c r="E20" s="4"/>
      <c r="F20" s="4"/>
      <c r="G20" s="3"/>
      <c r="H20" s="3"/>
      <c r="I20" s="3"/>
      <c r="J20" s="3"/>
      <c r="K20" s="4"/>
      <c r="L20" s="3"/>
      <c r="M20" s="4"/>
    </row>
    <row r="21" spans="1:13" ht="15">
      <c r="A21" s="37" t="s">
        <v>79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"/>
    </row>
    <row r="22" spans="1:13" ht="12.75">
      <c r="A22" s="9" t="s">
        <v>586</v>
      </c>
      <c r="B22" s="9" t="s">
        <v>587</v>
      </c>
      <c r="C22" s="9" t="s">
        <v>588</v>
      </c>
      <c r="D22" s="9" t="str">
        <f>"0,6805"</f>
        <v>0,6805</v>
      </c>
      <c r="E22" s="9" t="s">
        <v>589</v>
      </c>
      <c r="F22" s="9" t="s">
        <v>20</v>
      </c>
      <c r="G22" s="10" t="s">
        <v>253</v>
      </c>
      <c r="H22" s="10" t="s">
        <v>189</v>
      </c>
      <c r="I22" s="10" t="s">
        <v>142</v>
      </c>
      <c r="J22" s="11"/>
      <c r="K22" s="9" t="str">
        <f>"205,0"</f>
        <v>205,0</v>
      </c>
      <c r="L22" s="10" t="str">
        <f>"145,0826"</f>
        <v>145,0826</v>
      </c>
      <c r="M22" s="9" t="s">
        <v>28</v>
      </c>
    </row>
    <row r="23" spans="1:13" ht="12.75">
      <c r="A23" s="15" t="s">
        <v>590</v>
      </c>
      <c r="B23" s="15" t="s">
        <v>91</v>
      </c>
      <c r="C23" s="15" t="s">
        <v>92</v>
      </c>
      <c r="D23" s="15" t="str">
        <f>"0,6687"</f>
        <v>0,6687</v>
      </c>
      <c r="E23" s="15" t="s">
        <v>93</v>
      </c>
      <c r="F23" s="15" t="s">
        <v>94</v>
      </c>
      <c r="G23" s="16" t="s">
        <v>96</v>
      </c>
      <c r="H23" s="16" t="s">
        <v>189</v>
      </c>
      <c r="I23" s="16" t="s">
        <v>142</v>
      </c>
      <c r="J23" s="17" t="s">
        <v>142</v>
      </c>
      <c r="K23" s="15" t="str">
        <f>"205,0"</f>
        <v>205,0</v>
      </c>
      <c r="L23" s="16" t="str">
        <f>"137,0835"</f>
        <v>137,0835</v>
      </c>
      <c r="M23" s="15" t="s">
        <v>28</v>
      </c>
    </row>
    <row r="24" spans="1:13" ht="12.75">
      <c r="A24" s="4"/>
      <c r="B24" s="4"/>
      <c r="C24" s="4"/>
      <c r="D24" s="4"/>
      <c r="E24" s="4"/>
      <c r="F24" s="4"/>
      <c r="G24" s="3"/>
      <c r="H24" s="3"/>
      <c r="I24" s="3"/>
      <c r="J24" s="3"/>
      <c r="K24" s="4"/>
      <c r="L24" s="3"/>
      <c r="M24" s="4"/>
    </row>
    <row r="25" spans="1:13" ht="15">
      <c r="A25" s="37" t="s">
        <v>261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"/>
    </row>
    <row r="26" spans="1:13" ht="12.75">
      <c r="A26" s="9" t="s">
        <v>591</v>
      </c>
      <c r="B26" s="9" t="s">
        <v>592</v>
      </c>
      <c r="C26" s="9" t="s">
        <v>593</v>
      </c>
      <c r="D26" s="9" t="str">
        <f>"0,5978"</f>
        <v>0,5978</v>
      </c>
      <c r="E26" s="9" t="s">
        <v>594</v>
      </c>
      <c r="F26" s="9" t="s">
        <v>20</v>
      </c>
      <c r="G26" s="10" t="s">
        <v>595</v>
      </c>
      <c r="H26" s="10" t="s">
        <v>540</v>
      </c>
      <c r="I26" s="11"/>
      <c r="J26" s="11"/>
      <c r="K26" s="9" t="str">
        <f>"225,0"</f>
        <v>225,0</v>
      </c>
      <c r="L26" s="10" t="str">
        <f>"134,5050"</f>
        <v>134,5050</v>
      </c>
      <c r="M26" s="9" t="s">
        <v>28</v>
      </c>
    </row>
    <row r="27" spans="1:13" ht="12.75">
      <c r="A27" s="12" t="s">
        <v>596</v>
      </c>
      <c r="B27" s="12" t="s">
        <v>597</v>
      </c>
      <c r="C27" s="12" t="s">
        <v>598</v>
      </c>
      <c r="D27" s="12" t="str">
        <f>"0,6069"</f>
        <v>0,6069</v>
      </c>
      <c r="E27" s="12" t="s">
        <v>19</v>
      </c>
      <c r="F27" s="12" t="s">
        <v>20</v>
      </c>
      <c r="G27" s="13" t="s">
        <v>599</v>
      </c>
      <c r="H27" s="13" t="s">
        <v>106</v>
      </c>
      <c r="I27" s="14" t="s">
        <v>600</v>
      </c>
      <c r="J27" s="14"/>
      <c r="K27" s="12" t="str">
        <f>"215,0"</f>
        <v>215,0</v>
      </c>
      <c r="L27" s="13" t="str">
        <f>"130,4835"</f>
        <v>130,4835</v>
      </c>
      <c r="M27" s="12" t="s">
        <v>28</v>
      </c>
    </row>
    <row r="28" spans="1:13" ht="12.75">
      <c r="A28" s="15" t="s">
        <v>601</v>
      </c>
      <c r="B28" s="15" t="s">
        <v>432</v>
      </c>
      <c r="C28" s="15" t="s">
        <v>430</v>
      </c>
      <c r="D28" s="15" t="str">
        <f>"0,5869"</f>
        <v>0,5869</v>
      </c>
      <c r="E28" s="15" t="s">
        <v>19</v>
      </c>
      <c r="F28" s="15" t="s">
        <v>433</v>
      </c>
      <c r="G28" s="17" t="s">
        <v>189</v>
      </c>
      <c r="H28" s="17" t="s">
        <v>189</v>
      </c>
      <c r="I28" s="17" t="s">
        <v>189</v>
      </c>
      <c r="J28" s="17"/>
      <c r="K28" s="15" t="str">
        <f>"0.00"</f>
        <v>0.00</v>
      </c>
      <c r="L28" s="16" t="str">
        <f>"0,0000"</f>
        <v>0,0000</v>
      </c>
      <c r="M28" s="15" t="s">
        <v>28</v>
      </c>
    </row>
    <row r="29" spans="1:13" ht="12.75">
      <c r="A29" s="4"/>
      <c r="B29" s="4"/>
      <c r="C29" s="4"/>
      <c r="D29" s="4"/>
      <c r="E29" s="4"/>
      <c r="F29" s="4"/>
      <c r="G29" s="3"/>
      <c r="H29" s="3"/>
      <c r="I29" s="3"/>
      <c r="J29" s="3"/>
      <c r="K29" s="4"/>
      <c r="L29" s="3"/>
      <c r="M29" s="4"/>
    </row>
    <row r="30" spans="1:13" ht="15">
      <c r="A30" s="37" t="s">
        <v>100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"/>
    </row>
    <row r="31" spans="1:13" ht="12.75">
      <c r="A31" s="9" t="s">
        <v>602</v>
      </c>
      <c r="B31" s="9" t="s">
        <v>603</v>
      </c>
      <c r="C31" s="9" t="s">
        <v>604</v>
      </c>
      <c r="D31" s="9" t="str">
        <f>"0,5605"</f>
        <v>0,5605</v>
      </c>
      <c r="E31" s="9" t="s">
        <v>243</v>
      </c>
      <c r="F31" s="9" t="s">
        <v>244</v>
      </c>
      <c r="G31" s="10" t="s">
        <v>175</v>
      </c>
      <c r="H31" s="10" t="s">
        <v>131</v>
      </c>
      <c r="I31" s="10" t="s">
        <v>258</v>
      </c>
      <c r="J31" s="11"/>
      <c r="K31" s="9" t="str">
        <f>"240,0"</f>
        <v>240,0</v>
      </c>
      <c r="L31" s="10" t="str">
        <f>"134,5200"</f>
        <v>134,5200</v>
      </c>
      <c r="M31" s="9" t="s">
        <v>28</v>
      </c>
    </row>
    <row r="32" spans="1:13" ht="12.75">
      <c r="A32" s="12" t="s">
        <v>605</v>
      </c>
      <c r="B32" s="12" t="s">
        <v>606</v>
      </c>
      <c r="C32" s="12" t="s">
        <v>607</v>
      </c>
      <c r="D32" s="12" t="str">
        <f>"0,5619"</f>
        <v>0,5619</v>
      </c>
      <c r="E32" s="12" t="s">
        <v>93</v>
      </c>
      <c r="F32" s="12" t="s">
        <v>94</v>
      </c>
      <c r="G32" s="13" t="s">
        <v>189</v>
      </c>
      <c r="H32" s="14" t="s">
        <v>176</v>
      </c>
      <c r="I32" s="13" t="s">
        <v>540</v>
      </c>
      <c r="J32" s="14"/>
      <c r="K32" s="12" t="str">
        <f>"225,0"</f>
        <v>225,0</v>
      </c>
      <c r="L32" s="13" t="str">
        <f>"126,4275"</f>
        <v>126,4275</v>
      </c>
      <c r="M32" s="12" t="s">
        <v>28</v>
      </c>
    </row>
    <row r="33" spans="1:13" ht="12.75">
      <c r="A33" s="12" t="s">
        <v>608</v>
      </c>
      <c r="B33" s="12" t="s">
        <v>402</v>
      </c>
      <c r="C33" s="12" t="s">
        <v>609</v>
      </c>
      <c r="D33" s="12" t="str">
        <f>"0,5624"</f>
        <v>0,5624</v>
      </c>
      <c r="E33" s="12" t="s">
        <v>93</v>
      </c>
      <c r="F33" s="12" t="s">
        <v>94</v>
      </c>
      <c r="G33" s="13" t="s">
        <v>253</v>
      </c>
      <c r="H33" s="13" t="s">
        <v>99</v>
      </c>
      <c r="I33" s="13" t="s">
        <v>142</v>
      </c>
      <c r="J33" s="14"/>
      <c r="K33" s="12" t="str">
        <f>"205,0"</f>
        <v>205,0</v>
      </c>
      <c r="L33" s="13" t="str">
        <f>"115,2920"</f>
        <v>115,2920</v>
      </c>
      <c r="M33" s="12" t="s">
        <v>28</v>
      </c>
    </row>
    <row r="34" spans="1:13" ht="12.75">
      <c r="A34" s="12" t="s">
        <v>610</v>
      </c>
      <c r="B34" s="12" t="s">
        <v>611</v>
      </c>
      <c r="C34" s="12" t="s">
        <v>609</v>
      </c>
      <c r="D34" s="12" t="str">
        <f>"0,5624"</f>
        <v>0,5624</v>
      </c>
      <c r="E34" s="12" t="s">
        <v>579</v>
      </c>
      <c r="F34" s="12" t="s">
        <v>305</v>
      </c>
      <c r="G34" s="13" t="s">
        <v>99</v>
      </c>
      <c r="H34" s="13" t="s">
        <v>540</v>
      </c>
      <c r="I34" s="13" t="s">
        <v>612</v>
      </c>
      <c r="J34" s="14"/>
      <c r="K34" s="12" t="str">
        <f>"235,0"</f>
        <v>235,0</v>
      </c>
      <c r="L34" s="13" t="str">
        <f>"133,3535"</f>
        <v>133,3535</v>
      </c>
      <c r="M34" s="12" t="s">
        <v>28</v>
      </c>
    </row>
    <row r="35" spans="1:13" ht="12.75">
      <c r="A35" s="15" t="s">
        <v>602</v>
      </c>
      <c r="B35" s="15" t="s">
        <v>613</v>
      </c>
      <c r="C35" s="15" t="s">
        <v>604</v>
      </c>
      <c r="D35" s="15" t="str">
        <f>"0,5605"</f>
        <v>0,5605</v>
      </c>
      <c r="E35" s="15" t="s">
        <v>243</v>
      </c>
      <c r="F35" s="15" t="s">
        <v>244</v>
      </c>
      <c r="G35" s="16" t="s">
        <v>175</v>
      </c>
      <c r="H35" s="16" t="s">
        <v>131</v>
      </c>
      <c r="I35" s="16" t="s">
        <v>258</v>
      </c>
      <c r="J35" s="17"/>
      <c r="K35" s="15" t="str">
        <f>"240,0"</f>
        <v>240,0</v>
      </c>
      <c r="L35" s="16" t="str">
        <f>"140,9770"</f>
        <v>140,9770</v>
      </c>
      <c r="M35" s="15" t="s">
        <v>28</v>
      </c>
    </row>
    <row r="36" spans="1:13" ht="12.75">
      <c r="A36" s="4"/>
      <c r="B36" s="4"/>
      <c r="C36" s="4"/>
      <c r="D36" s="4"/>
      <c r="E36" s="4"/>
      <c r="F36" s="4"/>
      <c r="G36" s="3"/>
      <c r="H36" s="3"/>
      <c r="I36" s="3"/>
      <c r="J36" s="3"/>
      <c r="K36" s="4"/>
      <c r="L36" s="3"/>
      <c r="M36" s="4"/>
    </row>
    <row r="37" spans="1:13" ht="15">
      <c r="A37" s="4"/>
      <c r="B37" s="4"/>
      <c r="C37" s="4"/>
      <c r="D37" s="4"/>
      <c r="E37" s="18" t="s">
        <v>112</v>
      </c>
      <c r="F37" s="18" t="s">
        <v>151</v>
      </c>
      <c r="G37" s="3"/>
      <c r="H37" s="3"/>
      <c r="I37" s="3"/>
      <c r="J37" s="3"/>
      <c r="K37" s="4"/>
      <c r="L37" s="3"/>
      <c r="M37" s="4"/>
    </row>
    <row r="38" spans="1:13" ht="15">
      <c r="A38" s="4"/>
      <c r="B38" s="4"/>
      <c r="C38" s="4"/>
      <c r="D38" s="4"/>
      <c r="E38" s="18" t="s">
        <v>113</v>
      </c>
      <c r="F38" s="18" t="s">
        <v>152</v>
      </c>
      <c r="G38" s="3"/>
      <c r="H38" s="3"/>
      <c r="I38" s="3"/>
      <c r="J38" s="3"/>
      <c r="K38" s="4"/>
      <c r="L38" s="3"/>
      <c r="M38" s="4"/>
    </row>
    <row r="39" spans="1:13" ht="15">
      <c r="A39" s="4"/>
      <c r="B39" s="4"/>
      <c r="C39" s="4"/>
      <c r="D39" s="4"/>
      <c r="E39" s="18" t="s">
        <v>114</v>
      </c>
      <c r="F39" s="18" t="s">
        <v>153</v>
      </c>
      <c r="G39" s="3"/>
      <c r="H39" s="3"/>
      <c r="I39" s="3"/>
      <c r="J39" s="3"/>
      <c r="K39" s="4"/>
      <c r="L39" s="3"/>
      <c r="M39" s="4"/>
    </row>
    <row r="40" spans="1:13" ht="15">
      <c r="A40" s="4"/>
      <c r="B40" s="4"/>
      <c r="C40" s="4"/>
      <c r="D40" s="4"/>
      <c r="E40" s="18" t="s">
        <v>115</v>
      </c>
      <c r="F40" s="18" t="s">
        <v>154</v>
      </c>
      <c r="G40" s="3"/>
      <c r="H40" s="3"/>
      <c r="I40" s="3"/>
      <c r="J40" s="3"/>
      <c r="K40" s="4"/>
      <c r="L40" s="3"/>
      <c r="M40" s="4"/>
    </row>
    <row r="41" spans="1:13" ht="15">
      <c r="A41" s="4"/>
      <c r="B41" s="4"/>
      <c r="C41" s="4"/>
      <c r="D41" s="4"/>
      <c r="E41" s="18" t="s">
        <v>115</v>
      </c>
      <c r="F41" s="18" t="s">
        <v>155</v>
      </c>
      <c r="G41" s="3"/>
      <c r="H41" s="3"/>
      <c r="I41" s="3"/>
      <c r="J41" s="3"/>
      <c r="K41" s="4"/>
      <c r="L41" s="3"/>
      <c r="M41" s="4"/>
    </row>
    <row r="42" spans="1:13" ht="15">
      <c r="A42" s="4"/>
      <c r="B42" s="4"/>
      <c r="C42" s="4"/>
      <c r="D42" s="4"/>
      <c r="E42" s="18"/>
      <c r="F42" s="4"/>
      <c r="G42" s="3"/>
      <c r="H42" s="3"/>
      <c r="I42" s="3"/>
      <c r="J42" s="3"/>
      <c r="K42" s="4"/>
      <c r="L42" s="3"/>
      <c r="M42" s="4"/>
    </row>
    <row r="43" spans="1:13" ht="15">
      <c r="A43" s="4"/>
      <c r="B43" s="4"/>
      <c r="C43" s="4"/>
      <c r="D43" s="4"/>
      <c r="E43" s="18"/>
      <c r="F43" s="4"/>
      <c r="G43" s="3"/>
      <c r="H43" s="3"/>
      <c r="I43" s="3"/>
      <c r="J43" s="3"/>
      <c r="K43" s="4"/>
      <c r="L43" s="3"/>
      <c r="M43" s="4"/>
    </row>
    <row r="44" spans="1:13" ht="12.75">
      <c r="A44" s="4"/>
      <c r="B44" s="4"/>
      <c r="C44" s="4"/>
      <c r="D44" s="4"/>
      <c r="E44" s="4"/>
      <c r="F44" s="4"/>
      <c r="G44" s="3"/>
      <c r="H44" s="3"/>
      <c r="I44" s="3"/>
      <c r="J44" s="3"/>
      <c r="K44" s="4"/>
      <c r="L44" s="3"/>
      <c r="M44" s="4"/>
    </row>
    <row r="45" spans="1:13" ht="18">
      <c r="A45" s="19" t="s">
        <v>116</v>
      </c>
      <c r="B45" s="19"/>
      <c r="C45" s="4"/>
      <c r="D45" s="4"/>
      <c r="E45" s="4"/>
      <c r="F45" s="4"/>
      <c r="G45" s="3"/>
      <c r="H45" s="3"/>
      <c r="I45" s="3"/>
      <c r="J45" s="3"/>
      <c r="K45" s="4"/>
      <c r="L45" s="3"/>
      <c r="M45" s="4"/>
    </row>
    <row r="46" spans="1:13" ht="15">
      <c r="A46" s="20" t="s">
        <v>117</v>
      </c>
      <c r="B46" s="20"/>
      <c r="C46" s="4"/>
      <c r="D46" s="4"/>
      <c r="E46" s="4"/>
      <c r="F46" s="4"/>
      <c r="G46" s="3"/>
      <c r="H46" s="3"/>
      <c r="I46" s="3"/>
      <c r="J46" s="3"/>
      <c r="K46" s="4"/>
      <c r="L46" s="3"/>
      <c r="M46" s="4"/>
    </row>
    <row r="47" spans="1:13" ht="14.25">
      <c r="A47" s="22"/>
      <c r="B47" s="23" t="s">
        <v>471</v>
      </c>
      <c r="C47" s="4"/>
      <c r="D47" s="4"/>
      <c r="E47" s="4"/>
      <c r="F47" s="4"/>
      <c r="G47" s="3"/>
      <c r="H47" s="3"/>
      <c r="I47" s="3"/>
      <c r="J47" s="3"/>
      <c r="K47" s="4"/>
      <c r="L47" s="3"/>
      <c r="M47" s="4"/>
    </row>
    <row r="48" spans="1:13" ht="15">
      <c r="A48" s="24" t="s">
        <v>119</v>
      </c>
      <c r="B48" s="24" t="s">
        <v>120</v>
      </c>
      <c r="C48" s="24" t="s">
        <v>121</v>
      </c>
      <c r="D48" s="24" t="s">
        <v>122</v>
      </c>
      <c r="E48" s="24" t="s">
        <v>123</v>
      </c>
      <c r="F48" s="4"/>
      <c r="G48" s="3"/>
      <c r="H48" s="3"/>
      <c r="I48" s="3"/>
      <c r="J48" s="3"/>
      <c r="K48" s="4"/>
      <c r="L48" s="3"/>
      <c r="M48" s="4"/>
    </row>
    <row r="49" spans="1:13" ht="12.75">
      <c r="A49" s="21" t="s">
        <v>474</v>
      </c>
      <c r="B49" s="4" t="s">
        <v>475</v>
      </c>
      <c r="C49" s="4" t="s">
        <v>65</v>
      </c>
      <c r="D49" s="4" t="s">
        <v>188</v>
      </c>
      <c r="E49" s="25" t="s">
        <v>614</v>
      </c>
      <c r="F49" s="4"/>
      <c r="G49" s="3"/>
      <c r="H49" s="3"/>
      <c r="I49" s="3"/>
      <c r="J49" s="3"/>
      <c r="K49" s="4"/>
      <c r="L49" s="3"/>
      <c r="M49" s="4"/>
    </row>
    <row r="50" spans="1:13" ht="12.75">
      <c r="A50" s="4"/>
      <c r="B50" s="4"/>
      <c r="C50" s="4"/>
      <c r="D50" s="4"/>
      <c r="E50" s="4"/>
      <c r="F50" s="4"/>
      <c r="G50" s="3"/>
      <c r="H50" s="3"/>
      <c r="I50" s="3"/>
      <c r="J50" s="3"/>
      <c r="K50" s="4"/>
      <c r="L50" s="3"/>
      <c r="M50" s="4"/>
    </row>
    <row r="51" spans="1:13" ht="14.25">
      <c r="A51" s="22"/>
      <c r="B51" s="23" t="s">
        <v>127</v>
      </c>
      <c r="C51" s="4"/>
      <c r="D51" s="4"/>
      <c r="E51" s="4"/>
      <c r="F51" s="4"/>
      <c r="G51" s="3"/>
      <c r="H51" s="3"/>
      <c r="I51" s="3"/>
      <c r="J51" s="3"/>
      <c r="K51" s="4"/>
      <c r="L51" s="3"/>
      <c r="M51" s="4"/>
    </row>
    <row r="52" spans="1:13" ht="15">
      <c r="A52" s="24" t="s">
        <v>119</v>
      </c>
      <c r="B52" s="24" t="s">
        <v>120</v>
      </c>
      <c r="C52" s="24" t="s">
        <v>121</v>
      </c>
      <c r="D52" s="24" t="s">
        <v>122</v>
      </c>
      <c r="E52" s="24" t="s">
        <v>123</v>
      </c>
      <c r="F52" s="4"/>
      <c r="G52" s="3"/>
      <c r="H52" s="3"/>
      <c r="I52" s="3"/>
      <c r="J52" s="3"/>
      <c r="K52" s="4"/>
      <c r="L52" s="3"/>
      <c r="M52" s="4"/>
    </row>
    <row r="53" spans="1:13" ht="12.75">
      <c r="A53" s="21" t="s">
        <v>43</v>
      </c>
      <c r="B53" s="4" t="s">
        <v>127</v>
      </c>
      <c r="C53" s="4" t="s">
        <v>128</v>
      </c>
      <c r="D53" s="4" t="s">
        <v>55</v>
      </c>
      <c r="E53" s="25" t="s">
        <v>615</v>
      </c>
      <c r="F53" s="4"/>
      <c r="G53" s="3"/>
      <c r="H53" s="3"/>
      <c r="I53" s="3"/>
      <c r="J53" s="3"/>
      <c r="K53" s="4"/>
      <c r="L53" s="3"/>
      <c r="M53" s="4"/>
    </row>
    <row r="54" spans="1:13" ht="12.75">
      <c r="A54" s="4"/>
      <c r="B54" s="4"/>
      <c r="C54" s="4"/>
      <c r="D54" s="4"/>
      <c r="E54" s="4"/>
      <c r="F54" s="4"/>
      <c r="G54" s="3"/>
      <c r="H54" s="3"/>
      <c r="I54" s="3"/>
      <c r="J54" s="3"/>
      <c r="K54" s="4"/>
      <c r="L54" s="3"/>
      <c r="M54" s="4"/>
    </row>
    <row r="55" spans="1:13" ht="14.25">
      <c r="A55" s="22"/>
      <c r="B55" s="23" t="s">
        <v>133</v>
      </c>
      <c r="C55" s="4"/>
      <c r="D55" s="4"/>
      <c r="E55" s="4"/>
      <c r="F55" s="4"/>
      <c r="G55" s="3"/>
      <c r="H55" s="3"/>
      <c r="I55" s="3"/>
      <c r="J55" s="3"/>
      <c r="K55" s="4"/>
      <c r="L55" s="3"/>
      <c r="M55" s="4"/>
    </row>
    <row r="56" spans="1:13" ht="15">
      <c r="A56" s="24" t="s">
        <v>119</v>
      </c>
      <c r="B56" s="24" t="s">
        <v>120</v>
      </c>
      <c r="C56" s="24" t="s">
        <v>121</v>
      </c>
      <c r="D56" s="24" t="s">
        <v>122</v>
      </c>
      <c r="E56" s="24" t="s">
        <v>123</v>
      </c>
      <c r="F56" s="4"/>
      <c r="G56" s="3"/>
      <c r="H56" s="3"/>
      <c r="I56" s="3"/>
      <c r="J56" s="3"/>
      <c r="K56" s="4"/>
      <c r="L56" s="3"/>
      <c r="M56" s="4"/>
    </row>
    <row r="57" spans="1:13" ht="12.75">
      <c r="A57" s="21" t="s">
        <v>276</v>
      </c>
      <c r="B57" s="4" t="s">
        <v>146</v>
      </c>
      <c r="C57" s="4" t="s">
        <v>277</v>
      </c>
      <c r="D57" s="4" t="s">
        <v>37</v>
      </c>
      <c r="E57" s="25" t="s">
        <v>616</v>
      </c>
      <c r="F57" s="4"/>
      <c r="G57" s="3"/>
      <c r="H57" s="3"/>
      <c r="I57" s="3"/>
      <c r="J57" s="3"/>
      <c r="K57" s="4"/>
      <c r="L57" s="3"/>
      <c r="M57" s="4"/>
    </row>
    <row r="58" spans="1:13" ht="12.75">
      <c r="A58" s="4"/>
      <c r="B58" s="4"/>
      <c r="C58" s="4"/>
      <c r="D58" s="4"/>
      <c r="E58" s="4"/>
      <c r="F58" s="4"/>
      <c r="G58" s="3"/>
      <c r="H58" s="3"/>
      <c r="I58" s="3"/>
      <c r="J58" s="3"/>
      <c r="K58" s="4"/>
      <c r="L58" s="3"/>
      <c r="M58" s="4"/>
    </row>
    <row r="59" spans="1:13" ht="12.75">
      <c r="A59" s="4"/>
      <c r="B59" s="4"/>
      <c r="C59" s="4"/>
      <c r="D59" s="4"/>
      <c r="E59" s="4"/>
      <c r="F59" s="4"/>
      <c r="G59" s="3"/>
      <c r="H59" s="3"/>
      <c r="I59" s="3"/>
      <c r="J59" s="3"/>
      <c r="K59" s="4"/>
      <c r="L59" s="3"/>
      <c r="M59" s="4"/>
    </row>
    <row r="60" spans="1:13" ht="15">
      <c r="A60" s="20" t="s">
        <v>136</v>
      </c>
      <c r="B60" s="20"/>
      <c r="C60" s="4"/>
      <c r="D60" s="4"/>
      <c r="E60" s="4"/>
      <c r="F60" s="4"/>
      <c r="G60" s="3"/>
      <c r="H60" s="3"/>
      <c r="I60" s="3"/>
      <c r="J60" s="3"/>
      <c r="K60" s="4"/>
      <c r="L60" s="3"/>
      <c r="M60" s="4"/>
    </row>
    <row r="61" spans="1:13" ht="14.25">
      <c r="A61" s="22"/>
      <c r="B61" s="23" t="s">
        <v>137</v>
      </c>
      <c r="C61" s="4"/>
      <c r="D61" s="4"/>
      <c r="E61" s="4"/>
      <c r="F61" s="4"/>
      <c r="G61" s="3"/>
      <c r="H61" s="3"/>
      <c r="I61" s="3"/>
      <c r="J61" s="3"/>
      <c r="K61" s="4"/>
      <c r="L61" s="3"/>
      <c r="M61" s="4"/>
    </row>
    <row r="62" spans="1:13" ht="15">
      <c r="A62" s="24" t="s">
        <v>119</v>
      </c>
      <c r="B62" s="24" t="s">
        <v>120</v>
      </c>
      <c r="C62" s="24" t="s">
        <v>121</v>
      </c>
      <c r="D62" s="24" t="s">
        <v>122</v>
      </c>
      <c r="E62" s="24" t="s">
        <v>123</v>
      </c>
      <c r="F62" s="4"/>
      <c r="G62" s="3"/>
      <c r="H62" s="3"/>
      <c r="I62" s="3"/>
      <c r="J62" s="3"/>
      <c r="K62" s="4"/>
      <c r="L62" s="3"/>
      <c r="M62" s="4"/>
    </row>
    <row r="63" spans="1:13" ht="12.75">
      <c r="A63" s="21" t="s">
        <v>617</v>
      </c>
      <c r="B63" s="4" t="s">
        <v>350</v>
      </c>
      <c r="C63" s="4" t="s">
        <v>65</v>
      </c>
      <c r="D63" s="4" t="s">
        <v>142</v>
      </c>
      <c r="E63" s="25" t="s">
        <v>618</v>
      </c>
      <c r="F63" s="4"/>
      <c r="G63" s="3"/>
      <c r="H63" s="3"/>
      <c r="I63" s="3"/>
      <c r="J63" s="3"/>
      <c r="K63" s="4"/>
      <c r="L63" s="3"/>
      <c r="M63" s="4"/>
    </row>
    <row r="64" spans="1:13" ht="12.75">
      <c r="A64" s="21" t="s">
        <v>619</v>
      </c>
      <c r="B64" s="4" t="s">
        <v>138</v>
      </c>
      <c r="C64" s="4" t="s">
        <v>49</v>
      </c>
      <c r="D64" s="4" t="s">
        <v>581</v>
      </c>
      <c r="E64" s="25" t="s">
        <v>620</v>
      </c>
      <c r="F64" s="4"/>
      <c r="G64" s="3"/>
      <c r="H64" s="3"/>
      <c r="I64" s="3"/>
      <c r="J64" s="3"/>
      <c r="K64" s="4"/>
      <c r="L64" s="3"/>
      <c r="M64" s="4"/>
    </row>
    <row r="65" spans="1:13" ht="12.75">
      <c r="A65" s="21" t="s">
        <v>621</v>
      </c>
      <c r="B65" s="4" t="s">
        <v>475</v>
      </c>
      <c r="C65" s="4" t="s">
        <v>128</v>
      </c>
      <c r="D65" s="4" t="s">
        <v>585</v>
      </c>
      <c r="E65" s="25" t="s">
        <v>622</v>
      </c>
      <c r="F65" s="4"/>
      <c r="G65" s="3"/>
      <c r="H65" s="3"/>
      <c r="I65" s="3"/>
      <c r="J65" s="3"/>
      <c r="K65" s="4"/>
      <c r="L65" s="3"/>
      <c r="M65" s="4"/>
    </row>
    <row r="66" spans="1:13" ht="12.75">
      <c r="A66" s="4"/>
      <c r="B66" s="4"/>
      <c r="C66" s="4"/>
      <c r="D66" s="4"/>
      <c r="E66" s="4"/>
      <c r="F66" s="4"/>
      <c r="G66" s="3"/>
      <c r="H66" s="3"/>
      <c r="I66" s="3"/>
      <c r="J66" s="3"/>
      <c r="K66" s="4"/>
      <c r="L66" s="3"/>
      <c r="M66" s="4"/>
    </row>
    <row r="67" spans="1:13" ht="14.25">
      <c r="A67" s="22"/>
      <c r="B67" s="23" t="s">
        <v>127</v>
      </c>
      <c r="C67" s="4"/>
      <c r="D67" s="4"/>
      <c r="E67" s="4"/>
      <c r="F67" s="4"/>
      <c r="G67" s="3"/>
      <c r="H67" s="3"/>
      <c r="I67" s="3"/>
      <c r="J67" s="3"/>
      <c r="K67" s="4"/>
      <c r="L67" s="3"/>
      <c r="M67" s="4"/>
    </row>
    <row r="68" spans="1:13" ht="15">
      <c r="A68" s="24" t="s">
        <v>119</v>
      </c>
      <c r="B68" s="24" t="s">
        <v>120</v>
      </c>
      <c r="C68" s="24" t="s">
        <v>121</v>
      </c>
      <c r="D68" s="24" t="s">
        <v>122</v>
      </c>
      <c r="E68" s="24" t="s">
        <v>123</v>
      </c>
      <c r="F68" s="4"/>
      <c r="G68" s="3"/>
      <c r="H68" s="3"/>
      <c r="I68" s="3"/>
      <c r="J68" s="3"/>
      <c r="K68" s="4"/>
      <c r="L68" s="3"/>
      <c r="M68" s="4"/>
    </row>
    <row r="69" spans="1:13" ht="12.75">
      <c r="A69" s="21" t="s">
        <v>89</v>
      </c>
      <c r="B69" s="4" t="s">
        <v>127</v>
      </c>
      <c r="C69" s="4" t="s">
        <v>65</v>
      </c>
      <c r="D69" s="4" t="s">
        <v>142</v>
      </c>
      <c r="E69" s="25" t="s">
        <v>623</v>
      </c>
      <c r="F69" s="4"/>
      <c r="G69" s="3"/>
      <c r="H69" s="3"/>
      <c r="I69" s="3"/>
      <c r="J69" s="3"/>
      <c r="K69" s="4"/>
      <c r="L69" s="3"/>
      <c r="M69" s="4"/>
    </row>
    <row r="70" spans="1:13" ht="12.75">
      <c r="A70" s="21" t="s">
        <v>624</v>
      </c>
      <c r="B70" s="4" t="s">
        <v>127</v>
      </c>
      <c r="C70" s="4" t="s">
        <v>37</v>
      </c>
      <c r="D70" s="4" t="s">
        <v>258</v>
      </c>
      <c r="E70" s="25" t="s">
        <v>625</v>
      </c>
      <c r="F70" s="4"/>
      <c r="G70" s="3"/>
      <c r="H70" s="3"/>
      <c r="I70" s="3"/>
      <c r="J70" s="3"/>
      <c r="K70" s="4"/>
      <c r="L70" s="3"/>
      <c r="M70" s="4"/>
    </row>
    <row r="71" spans="1:13" ht="12.75">
      <c r="A71" s="21" t="s">
        <v>626</v>
      </c>
      <c r="B71" s="4" t="s">
        <v>127</v>
      </c>
      <c r="C71" s="4" t="s">
        <v>40</v>
      </c>
      <c r="D71" s="4" t="s">
        <v>540</v>
      </c>
      <c r="E71" s="25" t="s">
        <v>627</v>
      </c>
      <c r="F71" s="4"/>
      <c r="G71" s="3"/>
      <c r="H71" s="3"/>
      <c r="I71" s="3"/>
      <c r="J71" s="3"/>
      <c r="K71" s="4"/>
      <c r="L71" s="3"/>
      <c r="M71" s="4"/>
    </row>
    <row r="72" spans="1:13" ht="12.75">
      <c r="A72" s="21" t="s">
        <v>628</v>
      </c>
      <c r="B72" s="4" t="s">
        <v>127</v>
      </c>
      <c r="C72" s="4" t="s">
        <v>40</v>
      </c>
      <c r="D72" s="4" t="s">
        <v>175</v>
      </c>
      <c r="E72" s="25" t="s">
        <v>629</v>
      </c>
      <c r="F72" s="4"/>
      <c r="G72" s="3"/>
      <c r="H72" s="3"/>
      <c r="I72" s="3"/>
      <c r="J72" s="3"/>
      <c r="K72" s="4"/>
      <c r="L72" s="3"/>
      <c r="M72" s="4"/>
    </row>
    <row r="73" spans="1:13" ht="12.75">
      <c r="A73" s="21" t="s">
        <v>630</v>
      </c>
      <c r="B73" s="4" t="s">
        <v>127</v>
      </c>
      <c r="C73" s="4" t="s">
        <v>37</v>
      </c>
      <c r="D73" s="4" t="s">
        <v>540</v>
      </c>
      <c r="E73" s="25" t="s">
        <v>631</v>
      </c>
      <c r="F73" s="4"/>
      <c r="G73" s="3"/>
      <c r="H73" s="3"/>
      <c r="I73" s="3"/>
      <c r="J73" s="3"/>
      <c r="K73" s="4"/>
      <c r="L73" s="3"/>
      <c r="M73" s="4"/>
    </row>
    <row r="74" spans="1:13" ht="12.75">
      <c r="A74" s="21" t="s">
        <v>632</v>
      </c>
      <c r="B74" s="4" t="s">
        <v>127</v>
      </c>
      <c r="C74" s="4" t="s">
        <v>37</v>
      </c>
      <c r="D74" s="4" t="s">
        <v>142</v>
      </c>
      <c r="E74" s="25" t="s">
        <v>633</v>
      </c>
      <c r="F74" s="4"/>
      <c r="G74" s="3"/>
      <c r="H74" s="3"/>
      <c r="I74" s="3"/>
      <c r="J74" s="3"/>
      <c r="K74" s="4"/>
      <c r="L74" s="3"/>
      <c r="M74" s="4"/>
    </row>
    <row r="75" spans="1:13" ht="12.75">
      <c r="A75" s="4"/>
      <c r="B75" s="4"/>
      <c r="C75" s="4"/>
      <c r="D75" s="4"/>
      <c r="E75" s="4"/>
      <c r="F75" s="4"/>
      <c r="G75" s="3"/>
      <c r="H75" s="3"/>
      <c r="I75" s="3"/>
      <c r="J75" s="3"/>
      <c r="K75" s="4"/>
      <c r="L75" s="3"/>
      <c r="M75" s="4"/>
    </row>
    <row r="76" spans="1:13" ht="14.25">
      <c r="A76" s="22"/>
      <c r="B76" s="23" t="s">
        <v>133</v>
      </c>
      <c r="C76" s="4"/>
      <c r="D76" s="4"/>
      <c r="E76" s="4"/>
      <c r="F76" s="4"/>
      <c r="G76" s="3"/>
      <c r="H76" s="3"/>
      <c r="I76" s="3"/>
      <c r="J76" s="3"/>
      <c r="K76" s="4"/>
      <c r="L76" s="3"/>
      <c r="M76" s="4"/>
    </row>
    <row r="77" spans="1:13" ht="15">
      <c r="A77" s="24" t="s">
        <v>119</v>
      </c>
      <c r="B77" s="24" t="s">
        <v>120</v>
      </c>
      <c r="C77" s="24" t="s">
        <v>121</v>
      </c>
      <c r="D77" s="24" t="s">
        <v>122</v>
      </c>
      <c r="E77" s="24" t="s">
        <v>123</v>
      </c>
      <c r="F77" s="4"/>
      <c r="G77" s="3"/>
      <c r="H77" s="3"/>
      <c r="I77" s="3"/>
      <c r="J77" s="3"/>
      <c r="K77" s="4"/>
      <c r="L77" s="3"/>
      <c r="M77" s="4"/>
    </row>
    <row r="78" spans="1:13" ht="12.75">
      <c r="A78" s="21" t="s">
        <v>69</v>
      </c>
      <c r="B78" s="4" t="s">
        <v>146</v>
      </c>
      <c r="C78" s="4" t="s">
        <v>128</v>
      </c>
      <c r="D78" s="4" t="s">
        <v>189</v>
      </c>
      <c r="E78" s="25" t="s">
        <v>634</v>
      </c>
      <c r="F78" s="4"/>
      <c r="G78" s="3"/>
      <c r="H78" s="3"/>
      <c r="I78" s="3"/>
      <c r="J78" s="3"/>
      <c r="K78" s="4"/>
      <c r="L78" s="3"/>
      <c r="M78" s="4"/>
    </row>
    <row r="79" spans="1:13" ht="12.75">
      <c r="A79" s="21" t="s">
        <v>624</v>
      </c>
      <c r="B79" s="4" t="s">
        <v>149</v>
      </c>
      <c r="C79" s="4" t="s">
        <v>37</v>
      </c>
      <c r="D79" s="4" t="s">
        <v>258</v>
      </c>
      <c r="E79" s="25" t="s">
        <v>635</v>
      </c>
      <c r="F79" s="4"/>
      <c r="G79" s="3"/>
      <c r="H79" s="3"/>
      <c r="I79" s="3"/>
      <c r="J79" s="3"/>
      <c r="K79" s="4"/>
      <c r="L79" s="3"/>
      <c r="M79" s="4"/>
    </row>
    <row r="80" spans="1:13" ht="12.75">
      <c r="A80" s="21" t="s">
        <v>636</v>
      </c>
      <c r="B80" s="4" t="s">
        <v>134</v>
      </c>
      <c r="C80" s="4" t="s">
        <v>37</v>
      </c>
      <c r="D80" s="4" t="s">
        <v>612</v>
      </c>
      <c r="E80" s="25" t="s">
        <v>637</v>
      </c>
      <c r="F80" s="4"/>
      <c r="G80" s="3"/>
      <c r="H80" s="3"/>
      <c r="I80" s="3"/>
      <c r="J80" s="3"/>
      <c r="K80" s="4"/>
      <c r="L80" s="3"/>
      <c r="M80" s="4"/>
    </row>
  </sheetData>
  <sheetProtection/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1:L21"/>
    <mergeCell ref="A25:L25"/>
    <mergeCell ref="A30:L30"/>
    <mergeCell ref="M3:M4"/>
    <mergeCell ref="A5:L5"/>
    <mergeCell ref="A8:L8"/>
    <mergeCell ref="A11:L11"/>
    <mergeCell ref="A14:L14"/>
    <mergeCell ref="A17:L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8" sqref="F8:F12"/>
    </sheetView>
  </sheetViews>
  <sheetFormatPr defaultColWidth="9.00390625" defaultRowHeight="12.75"/>
  <cols>
    <col min="1" max="1" width="26.00390625" style="0" bestFit="1" customWidth="1"/>
    <col min="2" max="2" width="22.87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21.875" style="0" bestFit="1" customWidth="1"/>
    <col min="7" max="9" width="5.625" style="0" bestFit="1" customWidth="1"/>
    <col min="10" max="10" width="4.87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41" t="s">
        <v>638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78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1"/>
    </row>
    <row r="5" spans="1:13" ht="15">
      <c r="A5" s="38" t="s">
        <v>169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</row>
    <row r="6" spans="1:13" ht="12.75">
      <c r="A6" s="6" t="s">
        <v>537</v>
      </c>
      <c r="B6" s="6" t="s">
        <v>538</v>
      </c>
      <c r="C6" s="6" t="s">
        <v>539</v>
      </c>
      <c r="D6" s="6" t="str">
        <f>"0,6895"</f>
        <v>0,6895</v>
      </c>
      <c r="E6" s="6" t="s">
        <v>243</v>
      </c>
      <c r="F6" s="6" t="s">
        <v>244</v>
      </c>
      <c r="G6" s="7" t="s">
        <v>161</v>
      </c>
      <c r="H6" s="7" t="s">
        <v>87</v>
      </c>
      <c r="I6" s="7" t="s">
        <v>162</v>
      </c>
      <c r="J6" s="8"/>
      <c r="K6" s="6" t="str">
        <f>"150,0"</f>
        <v>150,0</v>
      </c>
      <c r="L6" s="7" t="str">
        <f>"103,4250"</f>
        <v>103,4250</v>
      </c>
      <c r="M6" s="6" t="s">
        <v>28</v>
      </c>
    </row>
    <row r="7" spans="1:13" ht="12.75">
      <c r="A7" s="4"/>
      <c r="B7" s="4"/>
      <c r="C7" s="4"/>
      <c r="D7" s="4"/>
      <c r="E7" s="4"/>
      <c r="F7" s="4"/>
      <c r="G7" s="3"/>
      <c r="H7" s="3"/>
      <c r="I7" s="3"/>
      <c r="J7" s="3"/>
      <c r="K7" s="4"/>
      <c r="L7" s="3"/>
      <c r="M7" s="4"/>
    </row>
    <row r="8" spans="1:13" ht="15">
      <c r="A8" s="4"/>
      <c r="B8" s="4"/>
      <c r="C8" s="4"/>
      <c r="D8" s="4"/>
      <c r="E8" s="18" t="s">
        <v>112</v>
      </c>
      <c r="F8" s="18" t="s">
        <v>151</v>
      </c>
      <c r="G8" s="3"/>
      <c r="H8" s="3"/>
      <c r="I8" s="3"/>
      <c r="J8" s="3"/>
      <c r="K8" s="4"/>
      <c r="L8" s="3"/>
      <c r="M8" s="4"/>
    </row>
    <row r="9" spans="1:13" ht="15">
      <c r="A9" s="4"/>
      <c r="B9" s="4"/>
      <c r="C9" s="4"/>
      <c r="D9" s="4"/>
      <c r="E9" s="18" t="s">
        <v>113</v>
      </c>
      <c r="F9" s="18" t="s">
        <v>152</v>
      </c>
      <c r="G9" s="3"/>
      <c r="H9" s="3"/>
      <c r="I9" s="3"/>
      <c r="J9" s="3"/>
      <c r="K9" s="4"/>
      <c r="L9" s="3"/>
      <c r="M9" s="4"/>
    </row>
    <row r="10" spans="1:13" ht="15">
      <c r="A10" s="4"/>
      <c r="B10" s="4"/>
      <c r="C10" s="4"/>
      <c r="D10" s="4"/>
      <c r="E10" s="18" t="s">
        <v>114</v>
      </c>
      <c r="F10" s="18" t="s">
        <v>153</v>
      </c>
      <c r="G10" s="3"/>
      <c r="H10" s="3"/>
      <c r="I10" s="3"/>
      <c r="J10" s="3"/>
      <c r="K10" s="4"/>
      <c r="L10" s="3"/>
      <c r="M10" s="4"/>
    </row>
    <row r="11" spans="1:13" ht="15">
      <c r="A11" s="4"/>
      <c r="B11" s="4"/>
      <c r="C11" s="4"/>
      <c r="D11" s="4"/>
      <c r="E11" s="18" t="s">
        <v>115</v>
      </c>
      <c r="F11" s="18" t="s">
        <v>154</v>
      </c>
      <c r="G11" s="3"/>
      <c r="H11" s="3"/>
      <c r="I11" s="3"/>
      <c r="J11" s="3"/>
      <c r="K11" s="4"/>
      <c r="L11" s="3"/>
      <c r="M11" s="4"/>
    </row>
    <row r="12" spans="1:13" ht="15">
      <c r="A12" s="4"/>
      <c r="B12" s="4"/>
      <c r="C12" s="4"/>
      <c r="D12" s="4"/>
      <c r="E12" s="18" t="s">
        <v>115</v>
      </c>
      <c r="F12" s="18" t="s">
        <v>155</v>
      </c>
      <c r="G12" s="3"/>
      <c r="H12" s="3"/>
      <c r="I12" s="3"/>
      <c r="J12" s="3"/>
      <c r="K12" s="4"/>
      <c r="L12" s="3"/>
      <c r="M12" s="4"/>
    </row>
    <row r="13" spans="1:13" ht="15">
      <c r="A13" s="4"/>
      <c r="B13" s="4"/>
      <c r="C13" s="4"/>
      <c r="D13" s="4"/>
      <c r="E13" s="18"/>
      <c r="F13" s="4"/>
      <c r="G13" s="3"/>
      <c r="H13" s="3"/>
      <c r="I13" s="3"/>
      <c r="J13" s="3"/>
      <c r="K13" s="4"/>
      <c r="L13" s="3"/>
      <c r="M13" s="4"/>
    </row>
    <row r="14" spans="1:13" ht="15">
      <c r="A14" s="4"/>
      <c r="B14" s="4"/>
      <c r="C14" s="4"/>
      <c r="D14" s="4"/>
      <c r="E14" s="18"/>
      <c r="F14" s="4"/>
      <c r="G14" s="3"/>
      <c r="H14" s="3"/>
      <c r="I14" s="3"/>
      <c r="J14" s="3"/>
      <c r="K14" s="4"/>
      <c r="L14" s="3"/>
      <c r="M14" s="4"/>
    </row>
    <row r="15" spans="1:13" ht="12.75">
      <c r="A15" s="4"/>
      <c r="B15" s="4"/>
      <c r="C15" s="4"/>
      <c r="D15" s="4"/>
      <c r="E15" s="4"/>
      <c r="F15" s="4"/>
      <c r="G15" s="3"/>
      <c r="H15" s="3"/>
      <c r="I15" s="3"/>
      <c r="J15" s="3"/>
      <c r="K15" s="4"/>
      <c r="L15" s="3"/>
      <c r="M15" s="4"/>
    </row>
    <row r="16" spans="1:13" ht="18">
      <c r="A16" s="19" t="s">
        <v>116</v>
      </c>
      <c r="B16" s="19"/>
      <c r="C16" s="4"/>
      <c r="D16" s="4"/>
      <c r="E16" s="4"/>
      <c r="F16" s="4"/>
      <c r="G16" s="3"/>
      <c r="H16" s="3"/>
      <c r="I16" s="3"/>
      <c r="J16" s="3"/>
      <c r="K16" s="4"/>
      <c r="L16" s="3"/>
      <c r="M16" s="4"/>
    </row>
    <row r="17" spans="1:13" ht="15">
      <c r="A17" s="20" t="s">
        <v>117</v>
      </c>
      <c r="B17" s="20"/>
      <c r="C17" s="4"/>
      <c r="D17" s="4"/>
      <c r="E17" s="4"/>
      <c r="F17" s="4"/>
      <c r="G17" s="3"/>
      <c r="H17" s="3"/>
      <c r="I17" s="3"/>
      <c r="J17" s="3"/>
      <c r="K17" s="4"/>
      <c r="L17" s="3"/>
      <c r="M17" s="4"/>
    </row>
    <row r="18" spans="1:13" ht="14.25">
      <c r="A18" s="22"/>
      <c r="B18" s="23" t="s">
        <v>127</v>
      </c>
      <c r="C18" s="4"/>
      <c r="D18" s="4"/>
      <c r="E18" s="4"/>
      <c r="F18" s="4"/>
      <c r="G18" s="3"/>
      <c r="H18" s="3"/>
      <c r="I18" s="3"/>
      <c r="J18" s="3"/>
      <c r="K18" s="4"/>
      <c r="L18" s="3"/>
      <c r="M18" s="4"/>
    </row>
    <row r="19" spans="1:13" ht="15">
      <c r="A19" s="24" t="s">
        <v>119</v>
      </c>
      <c r="B19" s="24" t="s">
        <v>120</v>
      </c>
      <c r="C19" s="24" t="s">
        <v>121</v>
      </c>
      <c r="D19" s="24" t="s">
        <v>122</v>
      </c>
      <c r="E19" s="24" t="s">
        <v>123</v>
      </c>
      <c r="F19" s="4"/>
      <c r="G19" s="3"/>
      <c r="H19" s="3"/>
      <c r="I19" s="3"/>
      <c r="J19" s="3"/>
      <c r="K19" s="4"/>
      <c r="L19" s="3"/>
      <c r="M19" s="4"/>
    </row>
    <row r="20" spans="1:13" ht="12.75">
      <c r="A20" s="21" t="s">
        <v>560</v>
      </c>
      <c r="B20" s="4" t="s">
        <v>127</v>
      </c>
      <c r="C20" s="4" t="s">
        <v>193</v>
      </c>
      <c r="D20" s="4" t="s">
        <v>162</v>
      </c>
      <c r="E20" s="25" t="s">
        <v>639</v>
      </c>
      <c r="F20" s="4"/>
      <c r="G20" s="3"/>
      <c r="H20" s="3"/>
      <c r="I20" s="3"/>
      <c r="J20" s="3"/>
      <c r="K20" s="4"/>
      <c r="L20" s="3"/>
      <c r="M20" s="4"/>
    </row>
  </sheetData>
  <sheetProtection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6.00390625" style="0" bestFit="1" customWidth="1"/>
    <col min="2" max="2" width="22.87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3.625" style="0" bestFit="1" customWidth="1"/>
    <col min="7" max="9" width="5.625" style="0" bestFit="1" customWidth="1"/>
    <col min="10" max="10" width="4.87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41" t="s">
        <v>640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22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1"/>
    </row>
    <row r="5" spans="1:13" ht="15">
      <c r="A5" s="38" t="s">
        <v>100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</row>
    <row r="6" spans="1:13" ht="12.75">
      <c r="A6" s="6" t="s">
        <v>641</v>
      </c>
      <c r="B6" s="6" t="s">
        <v>606</v>
      </c>
      <c r="C6" s="6" t="s">
        <v>607</v>
      </c>
      <c r="D6" s="6" t="str">
        <f>"0,5619"</f>
        <v>0,5619</v>
      </c>
      <c r="E6" s="6" t="s">
        <v>93</v>
      </c>
      <c r="F6" s="6" t="s">
        <v>94</v>
      </c>
      <c r="G6" s="7" t="s">
        <v>96</v>
      </c>
      <c r="H6" s="8" t="s">
        <v>97</v>
      </c>
      <c r="I6" s="8" t="s">
        <v>97</v>
      </c>
      <c r="J6" s="8"/>
      <c r="K6" s="6" t="str">
        <f>"180,0"</f>
        <v>180,0</v>
      </c>
      <c r="L6" s="7" t="str">
        <f>"101,1420"</f>
        <v>101,1420</v>
      </c>
      <c r="M6" s="6" t="s">
        <v>28</v>
      </c>
    </row>
    <row r="7" spans="1:13" ht="12.75">
      <c r="A7" s="4"/>
      <c r="B7" s="4"/>
      <c r="C7" s="4"/>
      <c r="D7" s="4"/>
      <c r="E7" s="4"/>
      <c r="F7" s="4"/>
      <c r="G7" s="3"/>
      <c r="H7" s="3"/>
      <c r="I7" s="3"/>
      <c r="J7" s="3"/>
      <c r="K7" s="4"/>
      <c r="L7" s="3"/>
      <c r="M7" s="4"/>
    </row>
    <row r="8" spans="1:13" ht="15">
      <c r="A8" s="4"/>
      <c r="B8" s="4"/>
      <c r="C8" s="4"/>
      <c r="D8" s="4"/>
      <c r="E8" s="18" t="s">
        <v>112</v>
      </c>
      <c r="F8" s="18" t="s">
        <v>151</v>
      </c>
      <c r="G8" s="3"/>
      <c r="H8" s="3"/>
      <c r="I8" s="3"/>
      <c r="J8" s="3"/>
      <c r="K8" s="4"/>
      <c r="L8" s="3"/>
      <c r="M8" s="4"/>
    </row>
    <row r="9" spans="1:13" ht="15">
      <c r="A9" s="4"/>
      <c r="B9" s="4"/>
      <c r="C9" s="4"/>
      <c r="D9" s="4"/>
      <c r="E9" s="18" t="s">
        <v>113</v>
      </c>
      <c r="F9" s="18" t="s">
        <v>152</v>
      </c>
      <c r="G9" s="3"/>
      <c r="H9" s="3"/>
      <c r="I9" s="3"/>
      <c r="J9" s="3"/>
      <c r="K9" s="4"/>
      <c r="L9" s="3"/>
      <c r="M9" s="4"/>
    </row>
    <row r="10" spans="1:13" ht="15">
      <c r="A10" s="4"/>
      <c r="B10" s="4"/>
      <c r="C10" s="4"/>
      <c r="D10" s="4"/>
      <c r="E10" s="18" t="s">
        <v>114</v>
      </c>
      <c r="F10" s="18" t="s">
        <v>153</v>
      </c>
      <c r="G10" s="3"/>
      <c r="H10" s="3"/>
      <c r="I10" s="3"/>
      <c r="J10" s="3"/>
      <c r="K10" s="4"/>
      <c r="L10" s="3"/>
      <c r="M10" s="4"/>
    </row>
    <row r="11" spans="1:13" ht="15">
      <c r="A11" s="4"/>
      <c r="B11" s="4"/>
      <c r="C11" s="4"/>
      <c r="D11" s="4"/>
      <c r="E11" s="18" t="s">
        <v>115</v>
      </c>
      <c r="F11" s="18" t="s">
        <v>154</v>
      </c>
      <c r="G11" s="3"/>
      <c r="H11" s="3"/>
      <c r="I11" s="3"/>
      <c r="J11" s="3"/>
      <c r="K11" s="4"/>
      <c r="L11" s="3"/>
      <c r="M11" s="4"/>
    </row>
    <row r="12" spans="1:13" ht="15">
      <c r="A12" s="4"/>
      <c r="B12" s="4"/>
      <c r="C12" s="4"/>
      <c r="D12" s="4"/>
      <c r="E12" s="18" t="s">
        <v>115</v>
      </c>
      <c r="F12" s="18" t="s">
        <v>155</v>
      </c>
      <c r="G12" s="3"/>
      <c r="H12" s="3"/>
      <c r="I12" s="3"/>
      <c r="J12" s="3"/>
      <c r="K12" s="4"/>
      <c r="L12" s="3"/>
      <c r="M12" s="4"/>
    </row>
    <row r="13" spans="1:13" ht="15">
      <c r="A13" s="4"/>
      <c r="B13" s="4"/>
      <c r="C13" s="4"/>
      <c r="D13" s="4"/>
      <c r="E13" s="18"/>
      <c r="F13" s="4"/>
      <c r="G13" s="3"/>
      <c r="H13" s="3"/>
      <c r="I13" s="3"/>
      <c r="J13" s="3"/>
      <c r="K13" s="4"/>
      <c r="L13" s="3"/>
      <c r="M13" s="4"/>
    </row>
    <row r="14" spans="1:13" ht="15">
      <c r="A14" s="4"/>
      <c r="B14" s="4"/>
      <c r="C14" s="4"/>
      <c r="D14" s="4"/>
      <c r="E14" s="18"/>
      <c r="F14" s="4"/>
      <c r="G14" s="3"/>
      <c r="H14" s="3"/>
      <c r="I14" s="3"/>
      <c r="J14" s="3"/>
      <c r="K14" s="4"/>
      <c r="L14" s="3"/>
      <c r="M14" s="4"/>
    </row>
    <row r="15" spans="1:13" ht="12.75">
      <c r="A15" s="4"/>
      <c r="B15" s="4"/>
      <c r="C15" s="4"/>
      <c r="D15" s="4"/>
      <c r="E15" s="4"/>
      <c r="F15" s="4"/>
      <c r="G15" s="3"/>
      <c r="H15" s="3"/>
      <c r="I15" s="3"/>
      <c r="J15" s="3"/>
      <c r="K15" s="4"/>
      <c r="L15" s="3"/>
      <c r="M15" s="4"/>
    </row>
    <row r="16" spans="1:13" ht="18">
      <c r="A16" s="19" t="s">
        <v>116</v>
      </c>
      <c r="B16" s="19"/>
      <c r="C16" s="4"/>
      <c r="D16" s="4"/>
      <c r="E16" s="4"/>
      <c r="F16" s="4"/>
      <c r="G16" s="3"/>
      <c r="H16" s="3"/>
      <c r="I16" s="3"/>
      <c r="J16" s="3"/>
      <c r="K16" s="4"/>
      <c r="L16" s="3"/>
      <c r="M16" s="4"/>
    </row>
    <row r="17" spans="1:13" ht="15">
      <c r="A17" s="20" t="s">
        <v>136</v>
      </c>
      <c r="B17" s="20"/>
      <c r="C17" s="4"/>
      <c r="D17" s="4"/>
      <c r="E17" s="4"/>
      <c r="F17" s="4"/>
      <c r="G17" s="3"/>
      <c r="H17" s="3"/>
      <c r="I17" s="3"/>
      <c r="J17" s="3"/>
      <c r="K17" s="4"/>
      <c r="L17" s="3"/>
      <c r="M17" s="4"/>
    </row>
    <row r="18" spans="1:13" ht="14.25">
      <c r="A18" s="22"/>
      <c r="B18" s="23" t="s">
        <v>127</v>
      </c>
      <c r="C18" s="4"/>
      <c r="D18" s="4"/>
      <c r="E18" s="4"/>
      <c r="F18" s="4"/>
      <c r="G18" s="3"/>
      <c r="H18" s="3"/>
      <c r="I18" s="3"/>
      <c r="J18" s="3"/>
      <c r="K18" s="4"/>
      <c r="L18" s="3"/>
      <c r="M18" s="4"/>
    </row>
    <row r="19" spans="1:13" ht="15">
      <c r="A19" s="24" t="s">
        <v>119</v>
      </c>
      <c r="B19" s="24" t="s">
        <v>120</v>
      </c>
      <c r="C19" s="24" t="s">
        <v>121</v>
      </c>
      <c r="D19" s="24" t="s">
        <v>122</v>
      </c>
      <c r="E19" s="24" t="s">
        <v>123</v>
      </c>
      <c r="F19" s="4"/>
      <c r="G19" s="3"/>
      <c r="H19" s="3"/>
      <c r="I19" s="3"/>
      <c r="J19" s="3"/>
      <c r="K19" s="4"/>
      <c r="L19" s="3"/>
      <c r="M19" s="4"/>
    </row>
    <row r="20" spans="1:13" ht="12.75">
      <c r="A20" s="21" t="s">
        <v>630</v>
      </c>
      <c r="B20" s="4" t="s">
        <v>127</v>
      </c>
      <c r="C20" s="4" t="s">
        <v>37</v>
      </c>
      <c r="D20" s="4" t="s">
        <v>96</v>
      </c>
      <c r="E20" s="25" t="s">
        <v>642</v>
      </c>
      <c r="F20" s="4"/>
      <c r="G20" s="3"/>
      <c r="H20" s="3"/>
      <c r="I20" s="3"/>
      <c r="J20" s="3"/>
      <c r="K20" s="4"/>
      <c r="L20" s="3"/>
      <c r="M20" s="4"/>
    </row>
  </sheetData>
  <sheetProtection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9.00390625" style="4" customWidth="1"/>
    <col min="4" max="4" width="10.625" style="4" bestFit="1" customWidth="1"/>
    <col min="5" max="5" width="22.75390625" style="4" bestFit="1" customWidth="1"/>
    <col min="6" max="6" width="33.625" style="4" bestFit="1" customWidth="1"/>
    <col min="7" max="7" width="5.625" style="3" bestFit="1" customWidth="1"/>
    <col min="8" max="8" width="5.625" style="54" bestFit="1" customWidth="1"/>
    <col min="9" max="9" width="7.875" style="4" bestFit="1" customWidth="1"/>
    <col min="10" max="10" width="8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1" t="s">
        <v>733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61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732</v>
      </c>
      <c r="E3" s="39" t="s">
        <v>4</v>
      </c>
      <c r="F3" s="39" t="s">
        <v>8</v>
      </c>
      <c r="G3" s="39" t="s">
        <v>731</v>
      </c>
      <c r="H3" s="39"/>
      <c r="I3" s="39" t="s">
        <v>730</v>
      </c>
      <c r="J3" s="39" t="s">
        <v>3</v>
      </c>
      <c r="K3" s="50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34" t="s">
        <v>729</v>
      </c>
      <c r="H4" s="58" t="s">
        <v>728</v>
      </c>
      <c r="I4" s="40"/>
      <c r="J4" s="40"/>
      <c r="K4" s="51"/>
    </row>
    <row r="5" spans="1:10" ht="15">
      <c r="A5" s="38" t="s">
        <v>727</v>
      </c>
      <c r="B5" s="38"/>
      <c r="C5" s="38"/>
      <c r="D5" s="38"/>
      <c r="E5" s="38"/>
      <c r="F5" s="38"/>
      <c r="G5" s="38"/>
      <c r="H5" s="38"/>
      <c r="I5" s="38"/>
      <c r="J5" s="38"/>
    </row>
    <row r="6" spans="1:11" ht="12.75">
      <c r="A6" s="9" t="s">
        <v>726</v>
      </c>
      <c r="B6" s="9" t="s">
        <v>725</v>
      </c>
      <c r="C6" s="9" t="s">
        <v>724</v>
      </c>
      <c r="D6" s="9" t="str">
        <f>"1,0000"</f>
        <v>1,0000</v>
      </c>
      <c r="E6" s="9" t="s">
        <v>93</v>
      </c>
      <c r="F6" s="9" t="s">
        <v>94</v>
      </c>
      <c r="G6" s="10" t="s">
        <v>39</v>
      </c>
      <c r="H6" s="57" t="s">
        <v>723</v>
      </c>
      <c r="I6" s="9" t="str">
        <f>"10560,0"</f>
        <v>10560,0</v>
      </c>
      <c r="J6" s="10" t="str">
        <f>"119,7278"</f>
        <v>119,7278</v>
      </c>
      <c r="K6" s="9" t="s">
        <v>28</v>
      </c>
    </row>
    <row r="7" spans="1:11" ht="12.75">
      <c r="A7" s="12" t="s">
        <v>722</v>
      </c>
      <c r="B7" s="12" t="s">
        <v>721</v>
      </c>
      <c r="C7" s="12" t="s">
        <v>720</v>
      </c>
      <c r="D7" s="12" t="str">
        <f>"1,0000"</f>
        <v>1,0000</v>
      </c>
      <c r="E7" s="12" t="s">
        <v>19</v>
      </c>
      <c r="F7" s="12" t="s">
        <v>20</v>
      </c>
      <c r="G7" s="13" t="s">
        <v>39</v>
      </c>
      <c r="H7" s="56" t="s">
        <v>719</v>
      </c>
      <c r="I7" s="12" t="str">
        <f>"1760,0"</f>
        <v>1760,0</v>
      </c>
      <c r="J7" s="13" t="str">
        <f>"22,5641"</f>
        <v>22,5641</v>
      </c>
      <c r="K7" s="12" t="s">
        <v>28</v>
      </c>
    </row>
    <row r="8" spans="1:11" ht="12.75">
      <c r="A8" s="12" t="s">
        <v>641</v>
      </c>
      <c r="B8" s="12" t="s">
        <v>606</v>
      </c>
      <c r="C8" s="12" t="s">
        <v>607</v>
      </c>
      <c r="D8" s="12" t="str">
        <f>"1,0000"</f>
        <v>1,0000</v>
      </c>
      <c r="E8" s="12" t="s">
        <v>93</v>
      </c>
      <c r="F8" s="12" t="s">
        <v>94</v>
      </c>
      <c r="G8" s="13" t="s">
        <v>39</v>
      </c>
      <c r="H8" s="56" t="s">
        <v>718</v>
      </c>
      <c r="I8" s="12" t="str">
        <f>"4455,0"</f>
        <v>4455,0</v>
      </c>
      <c r="J8" s="13" t="str">
        <f>"45,9278"</f>
        <v>45,9278</v>
      </c>
      <c r="K8" s="12" t="s">
        <v>28</v>
      </c>
    </row>
    <row r="9" spans="1:11" ht="12.75">
      <c r="A9" s="12" t="s">
        <v>717</v>
      </c>
      <c r="B9" s="12" t="s">
        <v>716</v>
      </c>
      <c r="C9" s="12" t="s">
        <v>715</v>
      </c>
      <c r="D9" s="12" t="str">
        <f>"1,0000"</f>
        <v>1,0000</v>
      </c>
      <c r="E9" s="12" t="s">
        <v>93</v>
      </c>
      <c r="F9" s="12" t="s">
        <v>94</v>
      </c>
      <c r="G9" s="13" t="s">
        <v>39</v>
      </c>
      <c r="H9" s="56" t="s">
        <v>714</v>
      </c>
      <c r="I9" s="12" t="str">
        <f>"3630,0"</f>
        <v>3630,0</v>
      </c>
      <c r="J9" s="13" t="str">
        <f>"41,0633"</f>
        <v>41,0633</v>
      </c>
      <c r="K9" s="12" t="s">
        <v>28</v>
      </c>
    </row>
    <row r="10" spans="1:11" ht="12.75">
      <c r="A10" s="12" t="s">
        <v>608</v>
      </c>
      <c r="B10" s="12" t="s">
        <v>402</v>
      </c>
      <c r="C10" s="12" t="s">
        <v>609</v>
      </c>
      <c r="D10" s="12" t="str">
        <f>"1,0000"</f>
        <v>1,0000</v>
      </c>
      <c r="E10" s="12" t="s">
        <v>93</v>
      </c>
      <c r="F10" s="12" t="s">
        <v>94</v>
      </c>
      <c r="G10" s="13" t="s">
        <v>39</v>
      </c>
      <c r="H10" s="56" t="s">
        <v>713</v>
      </c>
      <c r="I10" s="12" t="str">
        <f>"3355,0"</f>
        <v>3355,0</v>
      </c>
      <c r="J10" s="13" t="str">
        <f>"34,6590"</f>
        <v>34,6590</v>
      </c>
      <c r="K10" s="12" t="s">
        <v>28</v>
      </c>
    </row>
    <row r="11" spans="1:11" ht="12.75">
      <c r="A11" s="12" t="s">
        <v>696</v>
      </c>
      <c r="B11" s="12" t="s">
        <v>712</v>
      </c>
      <c r="C11" s="12" t="s">
        <v>694</v>
      </c>
      <c r="D11" s="12" t="str">
        <f>"1,0000"</f>
        <v>1,0000</v>
      </c>
      <c r="E11" s="12" t="s">
        <v>19</v>
      </c>
      <c r="F11" s="12" t="s">
        <v>693</v>
      </c>
      <c r="G11" s="13" t="s">
        <v>39</v>
      </c>
      <c r="H11" s="56" t="s">
        <v>52</v>
      </c>
      <c r="I11" s="12" t="str">
        <f>"2200,0"</f>
        <v>2200,0</v>
      </c>
      <c r="J11" s="13" t="str">
        <f>"29,9931"</f>
        <v>29,9931</v>
      </c>
      <c r="K11" s="12" t="s">
        <v>28</v>
      </c>
    </row>
    <row r="12" spans="1:11" ht="12.75">
      <c r="A12" s="12" t="s">
        <v>711</v>
      </c>
      <c r="B12" s="12" t="s">
        <v>710</v>
      </c>
      <c r="C12" s="12" t="s">
        <v>709</v>
      </c>
      <c r="D12" s="12" t="str">
        <f>"1,0000"</f>
        <v>1,0000</v>
      </c>
      <c r="E12" s="12" t="s">
        <v>19</v>
      </c>
      <c r="F12" s="12" t="s">
        <v>20</v>
      </c>
      <c r="G12" s="13" t="s">
        <v>39</v>
      </c>
      <c r="H12" s="56" t="s">
        <v>708</v>
      </c>
      <c r="I12" s="12" t="str">
        <f>"1925,0"</f>
        <v>1925,0</v>
      </c>
      <c r="J12" s="13" t="str">
        <f>"24,2138"</f>
        <v>24,2138</v>
      </c>
      <c r="K12" s="12" t="s">
        <v>28</v>
      </c>
    </row>
    <row r="13" spans="1:11" ht="12.75">
      <c r="A13" s="12" t="s">
        <v>707</v>
      </c>
      <c r="B13" s="12" t="s">
        <v>706</v>
      </c>
      <c r="C13" s="12" t="s">
        <v>447</v>
      </c>
      <c r="D13" s="12" t="str">
        <f>"1,0000"</f>
        <v>1,0000</v>
      </c>
      <c r="E13" s="12" t="s">
        <v>93</v>
      </c>
      <c r="F13" s="12" t="s">
        <v>94</v>
      </c>
      <c r="G13" s="13" t="s">
        <v>39</v>
      </c>
      <c r="H13" s="56" t="s">
        <v>705</v>
      </c>
      <c r="I13" s="12" t="str">
        <f>"3135,0"</f>
        <v>3135,0</v>
      </c>
      <c r="J13" s="13" t="str">
        <f>"33,0000"</f>
        <v>33,0000</v>
      </c>
      <c r="K13" s="12" t="s">
        <v>28</v>
      </c>
    </row>
    <row r="14" spans="1:11" ht="12.75">
      <c r="A14" s="12" t="s">
        <v>704</v>
      </c>
      <c r="B14" s="12" t="s">
        <v>703</v>
      </c>
      <c r="C14" s="12" t="s">
        <v>702</v>
      </c>
      <c r="D14" s="12" t="str">
        <f>"1,0000"</f>
        <v>1,0000</v>
      </c>
      <c r="E14" s="12" t="s">
        <v>93</v>
      </c>
      <c r="F14" s="12" t="s">
        <v>94</v>
      </c>
      <c r="G14" s="13" t="s">
        <v>39</v>
      </c>
      <c r="H14" s="56" t="s">
        <v>701</v>
      </c>
      <c r="I14" s="12" t="str">
        <f>"2805,0"</f>
        <v>2805,0</v>
      </c>
      <c r="J14" s="13" t="str">
        <f>"31,5168"</f>
        <v>31,5168</v>
      </c>
      <c r="K14" s="12" t="s">
        <v>28</v>
      </c>
    </row>
    <row r="15" spans="1:11" ht="12.75">
      <c r="A15" s="12" t="s">
        <v>700</v>
      </c>
      <c r="B15" s="12" t="s">
        <v>699</v>
      </c>
      <c r="C15" s="12" t="s">
        <v>698</v>
      </c>
      <c r="D15" s="12" t="str">
        <f>"1,0000"</f>
        <v>1,0000</v>
      </c>
      <c r="E15" s="12" t="s">
        <v>93</v>
      </c>
      <c r="F15" s="12" t="s">
        <v>94</v>
      </c>
      <c r="G15" s="13" t="s">
        <v>39</v>
      </c>
      <c r="H15" s="56" t="s">
        <v>697</v>
      </c>
      <c r="I15" s="12" t="str">
        <f>"2585,0"</f>
        <v>2585,0</v>
      </c>
      <c r="J15" s="13" t="str">
        <f>"31,3333"</f>
        <v>31,3333</v>
      </c>
      <c r="K15" s="12" t="s">
        <v>28</v>
      </c>
    </row>
    <row r="16" spans="1:11" ht="12.75">
      <c r="A16" s="15" t="s">
        <v>696</v>
      </c>
      <c r="B16" s="15" t="s">
        <v>695</v>
      </c>
      <c r="C16" s="15" t="s">
        <v>694</v>
      </c>
      <c r="D16" s="15" t="str">
        <f>"1,0000"</f>
        <v>1,0000</v>
      </c>
      <c r="E16" s="15" t="s">
        <v>19</v>
      </c>
      <c r="F16" s="15" t="s">
        <v>693</v>
      </c>
      <c r="G16" s="16" t="s">
        <v>21</v>
      </c>
      <c r="H16" s="55" t="s">
        <v>52</v>
      </c>
      <c r="I16" s="15" t="str">
        <f>"2200,0"</f>
        <v>2200,0</v>
      </c>
      <c r="J16" s="16" t="str">
        <f>"29,9931"</f>
        <v>29,9931</v>
      </c>
      <c r="K16" s="15" t="s">
        <v>28</v>
      </c>
    </row>
    <row r="18" spans="1:6" s="3" customFormat="1" ht="15">
      <c r="A18" s="4"/>
      <c r="B18" s="4"/>
      <c r="C18" s="4"/>
      <c r="D18" s="4"/>
      <c r="E18" s="18" t="s">
        <v>112</v>
      </c>
      <c r="F18" s="18" t="s">
        <v>151</v>
      </c>
    </row>
    <row r="19" spans="1:6" s="3" customFormat="1" ht="15">
      <c r="A19" s="4"/>
      <c r="B19" s="4"/>
      <c r="C19" s="4"/>
      <c r="D19" s="4"/>
      <c r="E19" s="18" t="s">
        <v>113</v>
      </c>
      <c r="F19" s="18" t="s">
        <v>152</v>
      </c>
    </row>
    <row r="20" spans="1:6" s="3" customFormat="1" ht="15">
      <c r="A20" s="4"/>
      <c r="B20" s="4"/>
      <c r="C20" s="4"/>
      <c r="D20" s="4"/>
      <c r="E20" s="18" t="s">
        <v>114</v>
      </c>
      <c r="F20" s="18" t="s">
        <v>153</v>
      </c>
    </row>
    <row r="21" spans="1:6" s="3" customFormat="1" ht="15">
      <c r="A21" s="4"/>
      <c r="B21" s="4"/>
      <c r="C21" s="4"/>
      <c r="D21" s="4"/>
      <c r="E21" s="18" t="s">
        <v>115</v>
      </c>
      <c r="F21" s="18" t="s">
        <v>692</v>
      </c>
    </row>
    <row r="22" spans="1:6" s="3" customFormat="1" ht="15">
      <c r="A22" s="4"/>
      <c r="B22" s="4"/>
      <c r="C22" s="4"/>
      <c r="D22" s="4"/>
      <c r="E22" s="18" t="s">
        <v>115</v>
      </c>
      <c r="F22" s="18" t="s">
        <v>691</v>
      </c>
    </row>
    <row r="23" spans="1:6" s="3" customFormat="1" ht="15">
      <c r="A23" s="4"/>
      <c r="B23" s="4"/>
      <c r="C23" s="4"/>
      <c r="D23" s="4"/>
      <c r="E23" s="18"/>
      <c r="F23" s="4"/>
    </row>
    <row r="24" spans="1:6" s="3" customFormat="1" ht="15">
      <c r="A24" s="4"/>
      <c r="B24" s="4"/>
      <c r="C24" s="4"/>
      <c r="D24" s="4"/>
      <c r="E24" s="18"/>
      <c r="F24" s="4"/>
    </row>
    <row r="26" spans="1:6" s="3" customFormat="1" ht="18">
      <c r="A26" s="19" t="s">
        <v>116</v>
      </c>
      <c r="B26" s="19"/>
      <c r="C26" s="4"/>
      <c r="D26" s="4"/>
      <c r="E26" s="4"/>
      <c r="F26" s="4"/>
    </row>
    <row r="27" spans="1:6" s="3" customFormat="1" ht="15">
      <c r="A27" s="20" t="s">
        <v>136</v>
      </c>
      <c r="B27" s="20"/>
      <c r="C27" s="4"/>
      <c r="D27" s="4"/>
      <c r="E27" s="4"/>
      <c r="F27" s="4"/>
    </row>
    <row r="28" spans="1:6" s="3" customFormat="1" ht="14.25">
      <c r="A28" s="22"/>
      <c r="B28" s="23" t="s">
        <v>137</v>
      </c>
      <c r="C28" s="4"/>
      <c r="D28" s="4"/>
      <c r="E28" s="4"/>
      <c r="F28" s="4"/>
    </row>
    <row r="29" spans="1:6" s="3" customFormat="1" ht="15">
      <c r="A29" s="24" t="s">
        <v>119</v>
      </c>
      <c r="B29" s="24" t="s">
        <v>120</v>
      </c>
      <c r="C29" s="24" t="s">
        <v>121</v>
      </c>
      <c r="D29" s="24" t="s">
        <v>122</v>
      </c>
      <c r="E29" s="24" t="s">
        <v>673</v>
      </c>
      <c r="F29" s="4"/>
    </row>
    <row r="30" spans="1:6" s="3" customFormat="1" ht="12.75">
      <c r="A30" s="21" t="s">
        <v>690</v>
      </c>
      <c r="B30" s="4" t="s">
        <v>689</v>
      </c>
      <c r="C30" s="4" t="s">
        <v>661</v>
      </c>
      <c r="D30" s="4" t="s">
        <v>688</v>
      </c>
      <c r="E30" s="25" t="s">
        <v>687</v>
      </c>
      <c r="F30" s="4"/>
    </row>
    <row r="32" spans="1:6" s="3" customFormat="1" ht="14.25">
      <c r="A32" s="22"/>
      <c r="B32" s="23" t="s">
        <v>279</v>
      </c>
      <c r="C32" s="4"/>
      <c r="D32" s="4"/>
      <c r="E32" s="4"/>
      <c r="F32" s="4"/>
    </row>
    <row r="33" spans="1:5" s="3" customFormat="1" ht="15">
      <c r="A33" s="24" t="s">
        <v>119</v>
      </c>
      <c r="B33" s="24" t="s">
        <v>120</v>
      </c>
      <c r="C33" s="24" t="s">
        <v>121</v>
      </c>
      <c r="D33" s="24" t="s">
        <v>122</v>
      </c>
      <c r="E33" s="24" t="s">
        <v>673</v>
      </c>
    </row>
    <row r="34" spans="1:5" s="3" customFormat="1" ht="12.75">
      <c r="A34" s="21" t="s">
        <v>686</v>
      </c>
      <c r="B34" s="4" t="s">
        <v>124</v>
      </c>
      <c r="C34" s="4" t="s">
        <v>661</v>
      </c>
      <c r="D34" s="4" t="s">
        <v>685</v>
      </c>
      <c r="E34" s="25" t="s">
        <v>684</v>
      </c>
    </row>
    <row r="36" spans="1:5" s="3" customFormat="1" ht="14.25">
      <c r="A36" s="22"/>
      <c r="B36" s="23" t="s">
        <v>127</v>
      </c>
      <c r="C36" s="4"/>
      <c r="D36" s="4"/>
      <c r="E36" s="4"/>
    </row>
    <row r="37" spans="1:5" s="3" customFormat="1" ht="15">
      <c r="A37" s="24" t="s">
        <v>119</v>
      </c>
      <c r="B37" s="24" t="s">
        <v>120</v>
      </c>
      <c r="C37" s="24" t="s">
        <v>121</v>
      </c>
      <c r="D37" s="24" t="s">
        <v>122</v>
      </c>
      <c r="E37" s="24" t="s">
        <v>673</v>
      </c>
    </row>
    <row r="38" spans="1:5" s="3" customFormat="1" ht="12.75">
      <c r="A38" s="21" t="s">
        <v>630</v>
      </c>
      <c r="B38" s="4" t="s">
        <v>127</v>
      </c>
      <c r="C38" s="4" t="s">
        <v>661</v>
      </c>
      <c r="D38" s="4" t="s">
        <v>683</v>
      </c>
      <c r="E38" s="25" t="s">
        <v>682</v>
      </c>
    </row>
    <row r="39" spans="1:5" s="3" customFormat="1" ht="12.75">
      <c r="A39" s="21" t="s">
        <v>681</v>
      </c>
      <c r="B39" s="4" t="s">
        <v>127</v>
      </c>
      <c r="C39" s="4" t="s">
        <v>661</v>
      </c>
      <c r="D39" s="4" t="s">
        <v>680</v>
      </c>
      <c r="E39" s="25" t="s">
        <v>679</v>
      </c>
    </row>
    <row r="40" spans="1:5" s="3" customFormat="1" ht="12.75">
      <c r="A40" s="21" t="s">
        <v>632</v>
      </c>
      <c r="B40" s="4" t="s">
        <v>127</v>
      </c>
      <c r="C40" s="4" t="s">
        <v>661</v>
      </c>
      <c r="D40" s="4" t="s">
        <v>678</v>
      </c>
      <c r="E40" s="25" t="s">
        <v>677</v>
      </c>
    </row>
    <row r="41" spans="1:5" s="3" customFormat="1" ht="12.75">
      <c r="A41" s="21" t="s">
        <v>663</v>
      </c>
      <c r="B41" s="4" t="s">
        <v>127</v>
      </c>
      <c r="C41" s="4" t="s">
        <v>661</v>
      </c>
      <c r="D41" s="4" t="s">
        <v>660</v>
      </c>
      <c r="E41" s="25" t="s">
        <v>659</v>
      </c>
    </row>
    <row r="42" spans="1:5" s="3" customFormat="1" ht="12.75">
      <c r="A42" s="21" t="s">
        <v>676</v>
      </c>
      <c r="B42" s="4" t="s">
        <v>127</v>
      </c>
      <c r="C42" s="4" t="s">
        <v>661</v>
      </c>
      <c r="D42" s="4" t="s">
        <v>675</v>
      </c>
      <c r="E42" s="25" t="s">
        <v>674</v>
      </c>
    </row>
    <row r="44" spans="1:5" s="3" customFormat="1" ht="14.25">
      <c r="A44" s="22"/>
      <c r="B44" s="23" t="s">
        <v>133</v>
      </c>
      <c r="C44" s="4"/>
      <c r="D44" s="4"/>
      <c r="E44" s="4"/>
    </row>
    <row r="45" spans="1:5" s="3" customFormat="1" ht="15">
      <c r="A45" s="24" t="s">
        <v>119</v>
      </c>
      <c r="B45" s="24" t="s">
        <v>120</v>
      </c>
      <c r="C45" s="24" t="s">
        <v>121</v>
      </c>
      <c r="D45" s="24" t="s">
        <v>122</v>
      </c>
      <c r="E45" s="24" t="s">
        <v>673</v>
      </c>
    </row>
    <row r="46" spans="1:5" s="3" customFormat="1" ht="12.75">
      <c r="A46" s="21" t="s">
        <v>672</v>
      </c>
      <c r="B46" s="4" t="s">
        <v>662</v>
      </c>
      <c r="C46" s="4" t="s">
        <v>661</v>
      </c>
      <c r="D46" s="4" t="s">
        <v>671</v>
      </c>
      <c r="E46" s="25" t="s">
        <v>670</v>
      </c>
    </row>
    <row r="47" spans="1:5" s="3" customFormat="1" ht="12.75">
      <c r="A47" s="21" t="s">
        <v>669</v>
      </c>
      <c r="B47" s="4" t="s">
        <v>662</v>
      </c>
      <c r="C47" s="4" t="s">
        <v>661</v>
      </c>
      <c r="D47" s="4" t="s">
        <v>668</v>
      </c>
      <c r="E47" s="25" t="s">
        <v>667</v>
      </c>
    </row>
    <row r="48" spans="1:5" s="3" customFormat="1" ht="12.75">
      <c r="A48" s="21" t="s">
        <v>666</v>
      </c>
      <c r="B48" s="4" t="s">
        <v>662</v>
      </c>
      <c r="C48" s="4" t="s">
        <v>661</v>
      </c>
      <c r="D48" s="4" t="s">
        <v>665</v>
      </c>
      <c r="E48" s="25" t="s">
        <v>664</v>
      </c>
    </row>
    <row r="49" spans="1:5" s="3" customFormat="1" ht="12.75">
      <c r="A49" s="21" t="s">
        <v>663</v>
      </c>
      <c r="B49" s="4" t="s">
        <v>662</v>
      </c>
      <c r="C49" s="4" t="s">
        <v>661</v>
      </c>
      <c r="D49" s="4" t="s">
        <v>660</v>
      </c>
      <c r="E49" s="25" t="s">
        <v>659</v>
      </c>
    </row>
    <row r="54" spans="1:5" s="3" customFormat="1" ht="18">
      <c r="A54" s="19" t="s">
        <v>658</v>
      </c>
      <c r="B54" s="19"/>
      <c r="C54" s="4"/>
      <c r="D54" s="4"/>
      <c r="E54" s="4"/>
    </row>
    <row r="55" spans="1:5" s="3" customFormat="1" ht="15">
      <c r="A55" s="24" t="s">
        <v>657</v>
      </c>
      <c r="B55" s="24" t="s">
        <v>656</v>
      </c>
      <c r="C55" s="24" t="s">
        <v>655</v>
      </c>
      <c r="D55" s="4"/>
      <c r="E55" s="4"/>
    </row>
    <row r="56" spans="1:5" s="3" customFormat="1" ht="12.75">
      <c r="A56" s="4" t="s">
        <v>93</v>
      </c>
      <c r="B56" s="4" t="s">
        <v>654</v>
      </c>
      <c r="C56" s="4" t="s">
        <v>653</v>
      </c>
      <c r="D56" s="4"/>
      <c r="E56" s="4"/>
    </row>
    <row r="57" spans="1:5" s="3" customFormat="1" ht="12.75">
      <c r="A57" s="4" t="s">
        <v>19</v>
      </c>
      <c r="B57" s="4" t="s">
        <v>652</v>
      </c>
      <c r="C57" s="4" t="s">
        <v>651</v>
      </c>
      <c r="D57" s="4"/>
      <c r="E57" s="4"/>
    </row>
  </sheetData>
  <sheetProtection/>
  <mergeCells count="12">
    <mergeCell ref="F3:F4"/>
    <mergeCell ref="E3:E4"/>
    <mergeCell ref="A5:J5"/>
    <mergeCell ref="D3:D4"/>
    <mergeCell ref="I3:I4"/>
    <mergeCell ref="J3:J4"/>
    <mergeCell ref="A1:K2"/>
    <mergeCell ref="G3:H3"/>
    <mergeCell ref="A3:A4"/>
    <mergeCell ref="B3:B4"/>
    <mergeCell ref="C3:C4"/>
    <mergeCell ref="K3:K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6.00390625" style="0" bestFit="1" customWidth="1"/>
    <col min="2" max="2" width="29.00390625" style="0" bestFit="1" customWidth="1"/>
    <col min="3" max="4" width="10.625" style="0" bestFit="1" customWidth="1"/>
    <col min="5" max="5" width="22.75390625" style="0" bestFit="1" customWidth="1"/>
    <col min="6" max="6" width="30.25390625" style="0" bestFit="1" customWidth="1"/>
    <col min="7" max="7" width="15.875" style="0" bestFit="1" customWidth="1"/>
    <col min="8" max="8" width="10.375" style="0" bestFit="1" customWidth="1"/>
    <col min="10" max="10" width="10.125" style="0" bestFit="1" customWidth="1"/>
  </cols>
  <sheetData>
    <row r="1" spans="1:10" ht="12.75">
      <c r="A1" s="41" t="s">
        <v>753</v>
      </c>
      <c r="B1" s="42"/>
      <c r="C1" s="42"/>
      <c r="D1" s="42"/>
      <c r="E1" s="42"/>
      <c r="F1" s="42"/>
      <c r="G1" s="43"/>
      <c r="H1" s="61"/>
      <c r="I1" s="2"/>
      <c r="J1" s="2"/>
    </row>
    <row r="2" spans="1:10" ht="111.75" customHeight="1" thickBot="1">
      <c r="A2" s="44"/>
      <c r="B2" s="45"/>
      <c r="C2" s="45"/>
      <c r="D2" s="45"/>
      <c r="E2" s="45"/>
      <c r="F2" s="45"/>
      <c r="G2" s="46"/>
      <c r="H2" s="61"/>
      <c r="I2" s="2"/>
      <c r="J2" s="2"/>
    </row>
    <row r="3" spans="1:10" ht="15">
      <c r="A3" s="47" t="s">
        <v>0</v>
      </c>
      <c r="B3" s="49" t="s">
        <v>6</v>
      </c>
      <c r="C3" s="49" t="s">
        <v>7</v>
      </c>
      <c r="D3" s="39" t="s">
        <v>732</v>
      </c>
      <c r="E3" s="39" t="s">
        <v>4</v>
      </c>
      <c r="F3" s="39" t="s">
        <v>8</v>
      </c>
      <c r="G3" s="50" t="s">
        <v>731</v>
      </c>
      <c r="H3" s="60"/>
      <c r="I3" s="1" t="s">
        <v>730</v>
      </c>
      <c r="J3" s="1"/>
    </row>
    <row r="4" spans="1:10" ht="15.75" thickBot="1">
      <c r="A4" s="48"/>
      <c r="B4" s="40"/>
      <c r="C4" s="40"/>
      <c r="D4" s="40"/>
      <c r="E4" s="40"/>
      <c r="F4" s="40"/>
      <c r="G4" s="51"/>
      <c r="H4" s="60" t="s">
        <v>728</v>
      </c>
      <c r="I4" s="1"/>
      <c r="J4" s="1"/>
    </row>
    <row r="5" spans="1:10" ht="15">
      <c r="A5" s="37" t="s">
        <v>727</v>
      </c>
      <c r="B5" s="37"/>
      <c r="C5" s="37"/>
      <c r="D5" s="37"/>
      <c r="E5" s="37"/>
      <c r="F5" s="37"/>
      <c r="G5" s="59"/>
      <c r="H5" s="59"/>
      <c r="I5" s="59"/>
      <c r="J5" s="59"/>
    </row>
    <row r="6" spans="1:10" ht="12.75">
      <c r="A6" s="9" t="s">
        <v>376</v>
      </c>
      <c r="B6" s="9" t="s">
        <v>752</v>
      </c>
      <c r="C6" s="9" t="s">
        <v>378</v>
      </c>
      <c r="D6" s="9" t="s">
        <v>743</v>
      </c>
      <c r="E6" s="9" t="s">
        <v>379</v>
      </c>
      <c r="F6" s="9" t="s">
        <v>20</v>
      </c>
      <c r="G6" s="9" t="s">
        <v>708</v>
      </c>
      <c r="H6" s="57" t="s">
        <v>751</v>
      </c>
      <c r="I6" s="10" t="s">
        <v>750</v>
      </c>
      <c r="J6" s="10" t="s">
        <v>749</v>
      </c>
    </row>
    <row r="7" spans="1:10" ht="12.75">
      <c r="A7" s="12" t="s">
        <v>748</v>
      </c>
      <c r="B7" s="12" t="s">
        <v>374</v>
      </c>
      <c r="C7" s="12" t="s">
        <v>375</v>
      </c>
      <c r="D7" s="12" t="s">
        <v>743</v>
      </c>
      <c r="E7" s="12" t="s">
        <v>47</v>
      </c>
      <c r="F7" s="12" t="s">
        <v>48</v>
      </c>
      <c r="G7" s="12" t="s">
        <v>708</v>
      </c>
      <c r="H7" s="56" t="s">
        <v>719</v>
      </c>
      <c r="I7" s="13" t="s">
        <v>747</v>
      </c>
      <c r="J7" s="13" t="s">
        <v>746</v>
      </c>
    </row>
    <row r="8" spans="1:10" ht="12.75">
      <c r="A8" s="15" t="s">
        <v>745</v>
      </c>
      <c r="B8" s="15" t="s">
        <v>370</v>
      </c>
      <c r="C8" s="15" t="s">
        <v>744</v>
      </c>
      <c r="D8" s="15" t="s">
        <v>743</v>
      </c>
      <c r="E8" s="15" t="s">
        <v>243</v>
      </c>
      <c r="F8" s="15" t="s">
        <v>244</v>
      </c>
      <c r="G8" s="15" t="s">
        <v>708</v>
      </c>
      <c r="H8" s="55" t="s">
        <v>742</v>
      </c>
      <c r="I8" s="16" t="s">
        <v>741</v>
      </c>
      <c r="J8" s="16" t="s">
        <v>740</v>
      </c>
    </row>
    <row r="9" spans="1:10" ht="12.75">
      <c r="A9" s="4"/>
      <c r="B9" s="4"/>
      <c r="C9" s="4"/>
      <c r="D9" s="4"/>
      <c r="E9" s="4"/>
      <c r="F9" s="4"/>
      <c r="G9" s="4"/>
      <c r="H9" s="54"/>
      <c r="I9" s="3"/>
      <c r="J9" s="3"/>
    </row>
    <row r="10" spans="1:10" ht="15">
      <c r="A10" s="4"/>
      <c r="B10" s="4"/>
      <c r="C10" s="4"/>
      <c r="D10" s="4"/>
      <c r="E10" s="18" t="s">
        <v>112</v>
      </c>
      <c r="F10" s="18" t="s">
        <v>151</v>
      </c>
      <c r="G10" s="4"/>
      <c r="H10" s="54"/>
      <c r="I10" s="3"/>
      <c r="J10" s="3"/>
    </row>
    <row r="11" spans="1:10" ht="15">
      <c r="A11" s="4"/>
      <c r="B11" s="4"/>
      <c r="C11" s="4"/>
      <c r="D11" s="4"/>
      <c r="E11" s="18" t="s">
        <v>113</v>
      </c>
      <c r="F11" s="18" t="s">
        <v>152</v>
      </c>
      <c r="G11" s="4"/>
      <c r="H11" s="54"/>
      <c r="I11" s="3"/>
      <c r="J11" s="3"/>
    </row>
    <row r="12" spans="1:10" ht="15">
      <c r="A12" s="4"/>
      <c r="B12" s="4"/>
      <c r="C12" s="4"/>
      <c r="D12" s="4"/>
      <c r="E12" s="18" t="s">
        <v>114</v>
      </c>
      <c r="F12" s="18" t="s">
        <v>153</v>
      </c>
      <c r="G12" s="4"/>
      <c r="H12" s="54"/>
      <c r="I12" s="3"/>
      <c r="J12" s="3"/>
    </row>
    <row r="13" spans="1:10" ht="15">
      <c r="A13" s="4"/>
      <c r="B13" s="4"/>
      <c r="C13" s="4"/>
      <c r="D13" s="4"/>
      <c r="E13" s="18" t="s">
        <v>115</v>
      </c>
      <c r="F13" s="18" t="s">
        <v>692</v>
      </c>
      <c r="G13" s="4"/>
      <c r="H13" s="54"/>
      <c r="I13" s="3"/>
      <c r="J13" s="3"/>
    </row>
    <row r="14" spans="1:10" ht="15">
      <c r="A14" s="4"/>
      <c r="B14" s="4"/>
      <c r="C14" s="4"/>
      <c r="D14" s="4"/>
      <c r="E14" s="18" t="s">
        <v>115</v>
      </c>
      <c r="F14" s="18" t="s">
        <v>691</v>
      </c>
      <c r="G14" s="4"/>
      <c r="H14" s="54"/>
      <c r="I14" s="3"/>
      <c r="J14" s="3"/>
    </row>
    <row r="15" spans="1:10" ht="15">
      <c r="A15" s="4"/>
      <c r="B15" s="4"/>
      <c r="C15" s="4"/>
      <c r="D15" s="4"/>
      <c r="E15" s="18"/>
      <c r="F15" s="4"/>
      <c r="G15" s="4"/>
      <c r="H15" s="54"/>
      <c r="I15" s="3"/>
      <c r="J15" s="3"/>
    </row>
    <row r="16" spans="1:10" ht="15">
      <c r="A16" s="4"/>
      <c r="B16" s="4"/>
      <c r="C16" s="4"/>
      <c r="D16" s="4"/>
      <c r="E16" s="18"/>
      <c r="F16" s="4"/>
      <c r="G16" s="4"/>
      <c r="H16" s="54"/>
      <c r="I16" s="3"/>
      <c r="J16" s="3"/>
    </row>
    <row r="17" spans="1:10" ht="12.75">
      <c r="A17" s="4"/>
      <c r="B17" s="4"/>
      <c r="C17" s="4"/>
      <c r="D17" s="4"/>
      <c r="E17" s="4"/>
      <c r="F17" s="4"/>
      <c r="G17" s="4"/>
      <c r="H17" s="54"/>
      <c r="I17" s="3"/>
      <c r="J17" s="3"/>
    </row>
    <row r="18" spans="1:10" ht="18">
      <c r="A18" s="19" t="s">
        <v>116</v>
      </c>
      <c r="B18" s="19"/>
      <c r="C18" s="4"/>
      <c r="D18" s="4"/>
      <c r="E18" s="4"/>
      <c r="F18" s="4"/>
      <c r="G18" s="4"/>
      <c r="H18" s="54"/>
      <c r="I18" s="3"/>
      <c r="J18" s="3"/>
    </row>
    <row r="19" spans="1:10" ht="15">
      <c r="A19" s="20" t="s">
        <v>117</v>
      </c>
      <c r="B19" s="20"/>
      <c r="C19" s="4"/>
      <c r="D19" s="4"/>
      <c r="E19" s="4"/>
      <c r="F19" s="4"/>
      <c r="G19" s="4"/>
      <c r="H19" s="54"/>
      <c r="I19" s="3"/>
      <c r="J19" s="3"/>
    </row>
    <row r="20" spans="1:10" ht="14.25">
      <c r="A20" s="26"/>
      <c r="B20" s="23" t="s">
        <v>471</v>
      </c>
      <c r="C20" s="4"/>
      <c r="D20" s="4"/>
      <c r="E20" s="4"/>
      <c r="F20" s="4"/>
      <c r="G20" s="4"/>
      <c r="H20" s="54"/>
      <c r="I20" s="3"/>
      <c r="J20" s="3"/>
    </row>
    <row r="21" spans="1:10" ht="15">
      <c r="A21" s="24" t="s">
        <v>119</v>
      </c>
      <c r="B21" s="24" t="s">
        <v>120</v>
      </c>
      <c r="C21" s="24" t="s">
        <v>121</v>
      </c>
      <c r="D21" s="24" t="s">
        <v>122</v>
      </c>
      <c r="E21" s="24" t="s">
        <v>673</v>
      </c>
      <c r="F21" s="4"/>
      <c r="G21" s="4"/>
      <c r="H21" s="54"/>
      <c r="I21" s="3"/>
      <c r="J21" s="3"/>
    </row>
    <row r="22" spans="1:10" ht="12.75">
      <c r="A22" s="27" t="s">
        <v>472</v>
      </c>
      <c r="B22" s="4" t="s">
        <v>689</v>
      </c>
      <c r="C22" s="4" t="s">
        <v>661</v>
      </c>
      <c r="D22" s="4" t="s">
        <v>739</v>
      </c>
      <c r="E22" s="25" t="s">
        <v>738</v>
      </c>
      <c r="F22" s="4"/>
      <c r="G22" s="4"/>
      <c r="H22" s="54"/>
      <c r="I22" s="3"/>
      <c r="J22" s="3"/>
    </row>
    <row r="23" spans="1:10" ht="12.75">
      <c r="A23" s="4"/>
      <c r="B23" s="4"/>
      <c r="C23" s="4"/>
      <c r="D23" s="4"/>
      <c r="E23" s="4"/>
      <c r="F23" s="4"/>
      <c r="G23" s="4"/>
      <c r="H23" s="54"/>
      <c r="I23" s="3"/>
      <c r="J23" s="3"/>
    </row>
    <row r="24" spans="1:10" ht="14.25">
      <c r="A24" s="26"/>
      <c r="B24" s="23" t="s">
        <v>127</v>
      </c>
      <c r="C24" s="4"/>
      <c r="D24" s="4"/>
      <c r="E24" s="4"/>
      <c r="F24" s="4"/>
      <c r="G24" s="4"/>
      <c r="H24" s="54"/>
      <c r="I24" s="3"/>
      <c r="J24" s="3"/>
    </row>
    <row r="25" spans="1:10" ht="15">
      <c r="A25" s="24" t="s">
        <v>119</v>
      </c>
      <c r="B25" s="24" t="s">
        <v>120</v>
      </c>
      <c r="C25" s="24" t="s">
        <v>121</v>
      </c>
      <c r="D25" s="24" t="s">
        <v>122</v>
      </c>
      <c r="E25" s="24" t="s">
        <v>673</v>
      </c>
      <c r="F25" s="4"/>
      <c r="G25" s="4"/>
      <c r="H25" s="54"/>
      <c r="I25" s="3"/>
      <c r="J25" s="3"/>
    </row>
    <row r="26" spans="1:10" ht="12.75">
      <c r="A26" s="27" t="s">
        <v>480</v>
      </c>
      <c r="B26" s="4" t="s">
        <v>127</v>
      </c>
      <c r="C26" s="4" t="s">
        <v>661</v>
      </c>
      <c r="D26" s="4" t="s">
        <v>737</v>
      </c>
      <c r="E26" s="25" t="s">
        <v>736</v>
      </c>
      <c r="F26" s="4"/>
      <c r="G26" s="4"/>
      <c r="H26" s="54"/>
      <c r="I26" s="3"/>
      <c r="J26" s="3"/>
    </row>
    <row r="27" spans="1:10" ht="12.75">
      <c r="A27" s="27" t="s">
        <v>477</v>
      </c>
      <c r="B27" s="4" t="s">
        <v>127</v>
      </c>
      <c r="C27" s="4" t="s">
        <v>661</v>
      </c>
      <c r="D27" s="4" t="s">
        <v>735</v>
      </c>
      <c r="E27" s="25" t="s">
        <v>734</v>
      </c>
      <c r="F27" s="4"/>
      <c r="G27" s="4"/>
      <c r="H27" s="54"/>
      <c r="I27" s="3"/>
      <c r="J27" s="3"/>
    </row>
  </sheetData>
  <sheetProtection/>
  <mergeCells count="9">
    <mergeCell ref="A5:J5"/>
    <mergeCell ref="A1:G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8" sqref="F8:F12"/>
    </sheetView>
  </sheetViews>
  <sheetFormatPr defaultColWidth="9.00390625" defaultRowHeight="12.75"/>
  <cols>
    <col min="1" max="1" width="26.00390625" style="0" bestFit="1" customWidth="1"/>
    <col min="2" max="2" width="22.875" style="0" bestFit="1" customWidth="1"/>
    <col min="3" max="4" width="10.625" style="0" bestFit="1" customWidth="1"/>
    <col min="5" max="5" width="22.75390625" style="0" bestFit="1" customWidth="1"/>
    <col min="6" max="6" width="29.00390625" style="0" bestFit="1" customWidth="1"/>
    <col min="7" max="7" width="15.875" style="0" bestFit="1" customWidth="1"/>
    <col min="8" max="8" width="10.375" style="0" bestFit="1" customWidth="1"/>
    <col min="10" max="10" width="10.125" style="0" bestFit="1" customWidth="1"/>
  </cols>
  <sheetData>
    <row r="1" spans="1:10" ht="12.75">
      <c r="A1" s="41" t="s">
        <v>763</v>
      </c>
      <c r="B1" s="42"/>
      <c r="C1" s="42"/>
      <c r="D1" s="42"/>
      <c r="E1" s="42"/>
      <c r="F1" s="42"/>
      <c r="G1" s="43"/>
      <c r="H1" s="61"/>
      <c r="I1" s="2"/>
      <c r="J1" s="2"/>
    </row>
    <row r="2" spans="1:10" ht="108.75" customHeight="1" thickBot="1">
      <c r="A2" s="44"/>
      <c r="B2" s="45"/>
      <c r="C2" s="45"/>
      <c r="D2" s="45"/>
      <c r="E2" s="45"/>
      <c r="F2" s="45"/>
      <c r="G2" s="46"/>
      <c r="H2" s="61"/>
      <c r="I2" s="2"/>
      <c r="J2" s="2"/>
    </row>
    <row r="3" spans="1:10" ht="15">
      <c r="A3" s="47" t="s">
        <v>0</v>
      </c>
      <c r="B3" s="49" t="s">
        <v>6</v>
      </c>
      <c r="C3" s="49" t="s">
        <v>7</v>
      </c>
      <c r="D3" s="39" t="s">
        <v>732</v>
      </c>
      <c r="E3" s="39" t="s">
        <v>4</v>
      </c>
      <c r="F3" s="39" t="s">
        <v>8</v>
      </c>
      <c r="G3" s="50" t="s">
        <v>731</v>
      </c>
      <c r="H3" s="60"/>
      <c r="I3" s="1" t="s">
        <v>730</v>
      </c>
      <c r="J3" s="1"/>
    </row>
    <row r="4" spans="1:10" ht="15.75" thickBot="1">
      <c r="A4" s="48"/>
      <c r="B4" s="40"/>
      <c r="C4" s="40"/>
      <c r="D4" s="40"/>
      <c r="E4" s="40"/>
      <c r="F4" s="40"/>
      <c r="G4" s="51"/>
      <c r="H4" s="60" t="s">
        <v>728</v>
      </c>
      <c r="I4" s="1"/>
      <c r="J4" s="1"/>
    </row>
    <row r="5" spans="1:10" ht="15">
      <c r="A5" s="37" t="s">
        <v>727</v>
      </c>
      <c r="B5" s="37"/>
      <c r="C5" s="37"/>
      <c r="D5" s="37"/>
      <c r="E5" s="37"/>
      <c r="F5" s="37"/>
      <c r="G5" s="59"/>
      <c r="H5" s="59"/>
      <c r="I5" s="59"/>
      <c r="J5" s="59"/>
    </row>
    <row r="6" spans="1:10" ht="12.75">
      <c r="A6" s="6" t="s">
        <v>762</v>
      </c>
      <c r="B6" s="6" t="s">
        <v>761</v>
      </c>
      <c r="C6" s="6" t="s">
        <v>760</v>
      </c>
      <c r="D6" s="6" t="s">
        <v>743</v>
      </c>
      <c r="E6" s="6" t="s">
        <v>47</v>
      </c>
      <c r="F6" s="6" t="s">
        <v>48</v>
      </c>
      <c r="G6" s="6" t="s">
        <v>37</v>
      </c>
      <c r="H6" s="62" t="s">
        <v>759</v>
      </c>
      <c r="I6" s="7" t="s">
        <v>758</v>
      </c>
      <c r="J6" s="7" t="s">
        <v>757</v>
      </c>
    </row>
    <row r="7" spans="1:10" ht="12.75">
      <c r="A7" s="4"/>
      <c r="B7" s="4"/>
      <c r="C7" s="4"/>
      <c r="D7" s="4"/>
      <c r="E7" s="4"/>
      <c r="F7" s="4"/>
      <c r="G7" s="4"/>
      <c r="H7" s="54"/>
      <c r="I7" s="3"/>
      <c r="J7" s="3"/>
    </row>
    <row r="8" spans="1:10" ht="15">
      <c r="A8" s="4"/>
      <c r="B8" s="4"/>
      <c r="C8" s="4"/>
      <c r="D8" s="4"/>
      <c r="E8" s="18" t="s">
        <v>112</v>
      </c>
      <c r="F8" s="18" t="s">
        <v>151</v>
      </c>
      <c r="G8" s="4"/>
      <c r="H8" s="54"/>
      <c r="I8" s="3"/>
      <c r="J8" s="3"/>
    </row>
    <row r="9" spans="1:10" ht="15">
      <c r="A9" s="4"/>
      <c r="B9" s="4"/>
      <c r="C9" s="4"/>
      <c r="D9" s="4"/>
      <c r="E9" s="18" t="s">
        <v>113</v>
      </c>
      <c r="F9" s="18" t="s">
        <v>152</v>
      </c>
      <c r="G9" s="4"/>
      <c r="H9" s="54"/>
      <c r="I9" s="3"/>
      <c r="J9" s="3"/>
    </row>
    <row r="10" spans="1:10" ht="15">
      <c r="A10" s="4"/>
      <c r="B10" s="4"/>
      <c r="C10" s="4"/>
      <c r="D10" s="4"/>
      <c r="E10" s="18" t="s">
        <v>114</v>
      </c>
      <c r="F10" s="18" t="s">
        <v>153</v>
      </c>
      <c r="G10" s="4"/>
      <c r="H10" s="54"/>
      <c r="I10" s="3"/>
      <c r="J10" s="3"/>
    </row>
    <row r="11" spans="1:10" ht="15">
      <c r="A11" s="4"/>
      <c r="B11" s="4"/>
      <c r="C11" s="4"/>
      <c r="D11" s="4"/>
      <c r="E11" s="18" t="s">
        <v>115</v>
      </c>
      <c r="F11" s="18" t="s">
        <v>692</v>
      </c>
      <c r="G11" s="4"/>
      <c r="H11" s="54"/>
      <c r="I11" s="3"/>
      <c r="J11" s="3"/>
    </row>
    <row r="12" spans="1:10" ht="15">
      <c r="A12" s="4"/>
      <c r="B12" s="4"/>
      <c r="C12" s="4"/>
      <c r="D12" s="4"/>
      <c r="E12" s="18" t="s">
        <v>115</v>
      </c>
      <c r="F12" s="18" t="s">
        <v>691</v>
      </c>
      <c r="G12" s="4"/>
      <c r="H12" s="54"/>
      <c r="I12" s="3"/>
      <c r="J12" s="3"/>
    </row>
    <row r="13" spans="1:10" ht="15">
      <c r="A13" s="4"/>
      <c r="B13" s="4"/>
      <c r="C13" s="4"/>
      <c r="D13" s="4"/>
      <c r="E13" s="18"/>
      <c r="F13" s="4"/>
      <c r="G13" s="4"/>
      <c r="H13" s="54"/>
      <c r="I13" s="3"/>
      <c r="J13" s="3"/>
    </row>
    <row r="14" spans="1:10" ht="15">
      <c r="A14" s="4"/>
      <c r="B14" s="4"/>
      <c r="C14" s="4"/>
      <c r="D14" s="4"/>
      <c r="E14" s="18"/>
      <c r="F14" s="4"/>
      <c r="G14" s="4"/>
      <c r="H14" s="54"/>
      <c r="I14" s="3"/>
      <c r="J14" s="3"/>
    </row>
    <row r="15" spans="1:10" ht="12.75">
      <c r="A15" s="4"/>
      <c r="B15" s="4"/>
      <c r="C15" s="4"/>
      <c r="D15" s="4"/>
      <c r="E15" s="4"/>
      <c r="F15" s="4"/>
      <c r="G15" s="4"/>
      <c r="H15" s="54"/>
      <c r="I15" s="3"/>
      <c r="J15" s="3"/>
    </row>
    <row r="16" spans="1:10" ht="18">
      <c r="A16" s="19" t="s">
        <v>116</v>
      </c>
      <c r="B16" s="19"/>
      <c r="C16" s="4"/>
      <c r="D16" s="4"/>
      <c r="E16" s="4"/>
      <c r="F16" s="4"/>
      <c r="G16" s="4"/>
      <c r="H16" s="54"/>
      <c r="I16" s="3"/>
      <c r="J16" s="3"/>
    </row>
    <row r="17" spans="1:10" ht="15">
      <c r="A17" s="20" t="s">
        <v>136</v>
      </c>
      <c r="B17" s="20"/>
      <c r="C17" s="4"/>
      <c r="D17" s="4"/>
      <c r="E17" s="4"/>
      <c r="F17" s="4"/>
      <c r="G17" s="4"/>
      <c r="H17" s="54"/>
      <c r="I17" s="3"/>
      <c r="J17" s="3"/>
    </row>
    <row r="18" spans="1:10" ht="14.25">
      <c r="A18" s="26"/>
      <c r="B18" s="23" t="s">
        <v>127</v>
      </c>
      <c r="C18" s="4"/>
      <c r="D18" s="4"/>
      <c r="E18" s="4"/>
      <c r="F18" s="4"/>
      <c r="G18" s="4"/>
      <c r="H18" s="54"/>
      <c r="I18" s="3"/>
      <c r="J18" s="3"/>
    </row>
    <row r="19" spans="1:10" ht="15">
      <c r="A19" s="24" t="s">
        <v>119</v>
      </c>
      <c r="B19" s="24" t="s">
        <v>120</v>
      </c>
      <c r="C19" s="24" t="s">
        <v>121</v>
      </c>
      <c r="D19" s="24" t="s">
        <v>122</v>
      </c>
      <c r="E19" s="24" t="s">
        <v>673</v>
      </c>
      <c r="F19" s="4"/>
      <c r="G19" s="4"/>
      <c r="H19" s="54"/>
      <c r="I19" s="3"/>
      <c r="J19" s="3"/>
    </row>
    <row r="20" spans="1:10" ht="12.75">
      <c r="A20" s="27" t="s">
        <v>756</v>
      </c>
      <c r="B20" s="4" t="s">
        <v>127</v>
      </c>
      <c r="C20" s="4" t="s">
        <v>661</v>
      </c>
      <c r="D20" s="4" t="s">
        <v>755</v>
      </c>
      <c r="E20" s="25" t="s">
        <v>754</v>
      </c>
      <c r="F20" s="4"/>
      <c r="G20" s="4"/>
      <c r="H20" s="54"/>
      <c r="I20" s="3"/>
      <c r="J20" s="3"/>
    </row>
  </sheetData>
  <sheetProtection/>
  <mergeCells count="9">
    <mergeCell ref="A5:J5"/>
    <mergeCell ref="A1:G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2" width="26.00390625" style="0" bestFit="1" customWidth="1"/>
    <col min="3" max="4" width="10.625" style="0" bestFit="1" customWidth="1"/>
    <col min="5" max="5" width="22.75390625" style="0" bestFit="1" customWidth="1"/>
    <col min="6" max="6" width="20.875" style="0" bestFit="1" customWidth="1"/>
    <col min="7" max="7" width="5.00390625" style="0" bestFit="1" customWidth="1"/>
    <col min="8" max="8" width="10.375" style="0" bestFit="1" customWidth="1"/>
    <col min="9" max="9" width="8.875" style="0" bestFit="1" customWidth="1"/>
    <col min="10" max="10" width="7.625" style="0" bestFit="1" customWidth="1"/>
    <col min="11" max="11" width="8.875" style="0" bestFit="1" customWidth="1"/>
  </cols>
  <sheetData>
    <row r="1" spans="1:11" ht="12.75">
      <c r="A1" s="41" t="s">
        <v>769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04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 s="47" t="s">
        <v>0</v>
      </c>
      <c r="B3" s="49" t="s">
        <v>6</v>
      </c>
      <c r="C3" s="49" t="s">
        <v>7</v>
      </c>
      <c r="D3" s="39" t="s">
        <v>732</v>
      </c>
      <c r="E3" s="39" t="s">
        <v>4</v>
      </c>
      <c r="F3" s="39" t="s">
        <v>8</v>
      </c>
      <c r="G3" s="39" t="s">
        <v>731</v>
      </c>
      <c r="H3" s="39"/>
      <c r="I3" s="39" t="s">
        <v>730</v>
      </c>
      <c r="J3" s="39" t="s">
        <v>3</v>
      </c>
      <c r="K3" s="50" t="s">
        <v>2</v>
      </c>
    </row>
    <row r="4" spans="1:11" ht="15.75" thickBot="1">
      <c r="A4" s="48"/>
      <c r="B4" s="40"/>
      <c r="C4" s="40"/>
      <c r="D4" s="40"/>
      <c r="E4" s="40"/>
      <c r="F4" s="40"/>
      <c r="G4" s="34" t="s">
        <v>729</v>
      </c>
      <c r="H4" s="58" t="s">
        <v>728</v>
      </c>
      <c r="I4" s="40"/>
      <c r="J4" s="40"/>
      <c r="K4" s="51"/>
    </row>
    <row r="5" spans="1:11" ht="15">
      <c r="A5" s="38" t="s">
        <v>727</v>
      </c>
      <c r="B5" s="38"/>
      <c r="C5" s="38"/>
      <c r="D5" s="38"/>
      <c r="E5" s="38"/>
      <c r="F5" s="38"/>
      <c r="G5" s="38"/>
      <c r="H5" s="38"/>
      <c r="I5" s="38"/>
      <c r="J5" s="38"/>
      <c r="K5" s="4"/>
    </row>
    <row r="6" spans="1:11" ht="12.75">
      <c r="A6" s="6" t="s">
        <v>314</v>
      </c>
      <c r="B6" s="6" t="s">
        <v>768</v>
      </c>
      <c r="C6" s="6" t="s">
        <v>316</v>
      </c>
      <c r="D6" s="6" t="str">
        <f>"1,0000"</f>
        <v>1,0000</v>
      </c>
      <c r="E6" s="6" t="s">
        <v>317</v>
      </c>
      <c r="F6" s="6" t="s">
        <v>318</v>
      </c>
      <c r="G6" s="7" t="s">
        <v>65</v>
      </c>
      <c r="H6" s="62" t="s">
        <v>767</v>
      </c>
      <c r="I6" s="6" t="str">
        <f>"2025,0"</f>
        <v>2025,0</v>
      </c>
      <c r="J6" s="7" t="str">
        <f>"22,8297"</f>
        <v>22,8297</v>
      </c>
      <c r="K6" s="6" t="s">
        <v>28</v>
      </c>
    </row>
    <row r="7" spans="1:11" ht="12.75">
      <c r="A7" s="4"/>
      <c r="B7" s="4"/>
      <c r="C7" s="4"/>
      <c r="D7" s="4"/>
      <c r="E7" s="4"/>
      <c r="F7" s="4"/>
      <c r="G7" s="3"/>
      <c r="H7" s="54"/>
      <c r="I7" s="4"/>
      <c r="J7" s="3"/>
      <c r="K7" s="4"/>
    </row>
    <row r="8" spans="1:11" ht="15">
      <c r="A8" s="4"/>
      <c r="B8" s="4"/>
      <c r="C8" s="4"/>
      <c r="D8" s="4"/>
      <c r="E8" s="18" t="s">
        <v>112</v>
      </c>
      <c r="F8" s="18" t="s">
        <v>151</v>
      </c>
      <c r="G8" s="3"/>
      <c r="H8" s="54"/>
      <c r="I8" s="4"/>
      <c r="J8" s="3"/>
      <c r="K8" s="4"/>
    </row>
    <row r="9" spans="1:11" ht="15">
      <c r="A9" s="4"/>
      <c r="B9" s="4"/>
      <c r="C9" s="4"/>
      <c r="D9" s="4"/>
      <c r="E9" s="18" t="s">
        <v>113</v>
      </c>
      <c r="F9" s="18" t="s">
        <v>152</v>
      </c>
      <c r="G9" s="3"/>
      <c r="H9" s="54"/>
      <c r="I9" s="4"/>
      <c r="J9" s="3"/>
      <c r="K9" s="4"/>
    </row>
    <row r="10" spans="1:11" ht="15">
      <c r="A10" s="4"/>
      <c r="B10" s="4"/>
      <c r="C10" s="4"/>
      <c r="D10" s="4"/>
      <c r="E10" s="18" t="s">
        <v>114</v>
      </c>
      <c r="F10" s="18" t="s">
        <v>153</v>
      </c>
      <c r="G10" s="3"/>
      <c r="H10" s="54"/>
      <c r="I10" s="4"/>
      <c r="J10" s="3"/>
      <c r="K10" s="4"/>
    </row>
    <row r="11" spans="1:11" ht="15">
      <c r="A11" s="4"/>
      <c r="B11" s="4"/>
      <c r="C11" s="4"/>
      <c r="D11" s="4"/>
      <c r="E11" s="18" t="s">
        <v>115</v>
      </c>
      <c r="F11" s="18" t="s">
        <v>692</v>
      </c>
      <c r="G11" s="3"/>
      <c r="H11" s="54"/>
      <c r="I11" s="4"/>
      <c r="J11" s="3"/>
      <c r="K11" s="4"/>
    </row>
    <row r="12" spans="1:11" ht="15">
      <c r="A12" s="4"/>
      <c r="B12" s="4"/>
      <c r="C12" s="4"/>
      <c r="D12" s="4"/>
      <c r="E12" s="18" t="s">
        <v>115</v>
      </c>
      <c r="F12" s="18" t="s">
        <v>691</v>
      </c>
      <c r="G12" s="3"/>
      <c r="H12" s="54"/>
      <c r="I12" s="4"/>
      <c r="J12" s="3"/>
      <c r="K12" s="4"/>
    </row>
    <row r="13" spans="1:11" ht="15">
      <c r="A13" s="4"/>
      <c r="B13" s="4"/>
      <c r="C13" s="4"/>
      <c r="D13" s="4"/>
      <c r="E13" s="18"/>
      <c r="F13" s="4"/>
      <c r="G13" s="3"/>
      <c r="H13" s="54"/>
      <c r="I13" s="4"/>
      <c r="J13" s="3"/>
      <c r="K13" s="4"/>
    </row>
    <row r="14" spans="1:11" ht="15">
      <c r="A14" s="4"/>
      <c r="B14" s="4"/>
      <c r="C14" s="4"/>
      <c r="D14" s="4"/>
      <c r="E14" s="18"/>
      <c r="F14" s="4"/>
      <c r="G14" s="3"/>
      <c r="H14" s="54"/>
      <c r="I14" s="4"/>
      <c r="J14" s="3"/>
      <c r="K14" s="4"/>
    </row>
    <row r="15" spans="1:11" ht="12.75">
      <c r="A15" s="4"/>
      <c r="B15" s="4"/>
      <c r="C15" s="4"/>
      <c r="D15" s="4"/>
      <c r="E15" s="4"/>
      <c r="F15" s="4"/>
      <c r="G15" s="3"/>
      <c r="H15" s="54"/>
      <c r="I15" s="4"/>
      <c r="J15" s="3"/>
      <c r="K15" s="4"/>
    </row>
    <row r="16" spans="1:11" ht="18">
      <c r="A16" s="19" t="s">
        <v>116</v>
      </c>
      <c r="B16" s="19"/>
      <c r="C16" s="4"/>
      <c r="D16" s="4"/>
      <c r="E16" s="4"/>
      <c r="F16" s="4"/>
      <c r="G16" s="3"/>
      <c r="H16" s="54"/>
      <c r="I16" s="4"/>
      <c r="J16" s="3"/>
      <c r="K16" s="4"/>
    </row>
    <row r="17" spans="1:11" ht="15">
      <c r="A17" s="20" t="s">
        <v>136</v>
      </c>
      <c r="B17" s="20"/>
      <c r="C17" s="4"/>
      <c r="D17" s="4"/>
      <c r="E17" s="4"/>
      <c r="F17" s="4"/>
      <c r="G17" s="3"/>
      <c r="H17" s="54"/>
      <c r="I17" s="4"/>
      <c r="J17" s="3"/>
      <c r="K17" s="4"/>
    </row>
    <row r="18" spans="1:11" ht="14.25">
      <c r="A18" s="22"/>
      <c r="B18" s="23" t="s">
        <v>133</v>
      </c>
      <c r="C18" s="4"/>
      <c r="D18" s="4"/>
      <c r="E18" s="4"/>
      <c r="F18" s="4"/>
      <c r="G18" s="3"/>
      <c r="H18" s="54"/>
      <c r="I18" s="4"/>
      <c r="J18" s="3"/>
      <c r="K18" s="4"/>
    </row>
    <row r="19" spans="1:11" ht="15">
      <c r="A19" s="24" t="s">
        <v>119</v>
      </c>
      <c r="B19" s="24" t="s">
        <v>120</v>
      </c>
      <c r="C19" s="24" t="s">
        <v>121</v>
      </c>
      <c r="D19" s="24" t="s">
        <v>122</v>
      </c>
      <c r="E19" s="24" t="s">
        <v>673</v>
      </c>
      <c r="F19" s="4"/>
      <c r="G19" s="3"/>
      <c r="H19" s="54"/>
      <c r="I19" s="4"/>
      <c r="J19" s="3"/>
      <c r="K19" s="4"/>
    </row>
    <row r="20" spans="1:11" ht="12.75">
      <c r="A20" s="21" t="s">
        <v>362</v>
      </c>
      <c r="B20" s="4" t="s">
        <v>766</v>
      </c>
      <c r="C20" s="4" t="s">
        <v>661</v>
      </c>
      <c r="D20" s="4" t="s">
        <v>765</v>
      </c>
      <c r="E20" s="25" t="s">
        <v>764</v>
      </c>
      <c r="F20" s="4"/>
      <c r="G20" s="3"/>
      <c r="H20" s="54"/>
      <c r="I20" s="4"/>
      <c r="J20" s="3"/>
      <c r="K20" s="4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B1">
      <selection activeCell="G3" sqref="G3:K4"/>
    </sheetView>
  </sheetViews>
  <sheetFormatPr defaultColWidth="9.00390625" defaultRowHeight="12.75"/>
  <cols>
    <col min="1" max="1" width="31.875" style="0" bestFit="1" customWidth="1"/>
    <col min="2" max="2" width="27.625" style="0" customWidth="1"/>
    <col min="3" max="3" width="21.875" style="0" customWidth="1"/>
    <col min="4" max="4" width="9.25390625" style="0" bestFit="1" customWidth="1"/>
    <col min="5" max="5" width="22.75390625" style="0" bestFit="1" customWidth="1"/>
    <col min="6" max="6" width="34.375" style="0" bestFit="1" customWidth="1"/>
    <col min="7" max="9" width="5.625" style="0" bestFit="1" customWidth="1"/>
    <col min="10" max="10" width="4.875" style="0" bestFit="1" customWidth="1"/>
    <col min="11" max="11" width="11.25390625" style="0" bestFit="1" customWidth="1"/>
    <col min="12" max="12" width="7.625" style="0" bestFit="1" customWidth="1"/>
    <col min="13" max="13" width="8.875" style="0" bestFit="1" customWidth="1"/>
  </cols>
  <sheetData>
    <row r="1" spans="1:13" ht="12.75">
      <c r="A1" s="41" t="s">
        <v>893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41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892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34">
        <v>1</v>
      </c>
      <c r="H4" s="34">
        <v>2</v>
      </c>
      <c r="I4" s="34">
        <v>3</v>
      </c>
      <c r="J4" s="34" t="s">
        <v>5</v>
      </c>
      <c r="K4" s="40"/>
      <c r="L4" s="40"/>
      <c r="M4" s="51"/>
    </row>
    <row r="5" spans="1:13" ht="15">
      <c r="A5" s="38" t="s">
        <v>79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</row>
    <row r="6" spans="1:13" ht="12.75">
      <c r="A6" s="6" t="s">
        <v>382</v>
      </c>
      <c r="B6" s="6" t="s">
        <v>383</v>
      </c>
      <c r="C6" s="6" t="s">
        <v>384</v>
      </c>
      <c r="D6" s="6" t="str">
        <f>"0,7662"</f>
        <v>0,7662</v>
      </c>
      <c r="E6" s="6" t="s">
        <v>93</v>
      </c>
      <c r="F6" s="6" t="s">
        <v>94</v>
      </c>
      <c r="G6" s="7" t="s">
        <v>891</v>
      </c>
      <c r="H6" s="7" t="s">
        <v>890</v>
      </c>
      <c r="I6" s="7" t="s">
        <v>827</v>
      </c>
      <c r="J6" s="8"/>
      <c r="K6" s="6" t="str">
        <f>"32,5"</f>
        <v>32,5</v>
      </c>
      <c r="L6" s="7" t="str">
        <f>"26,8936"</f>
        <v>26,8936</v>
      </c>
      <c r="M6" s="6" t="s">
        <v>28</v>
      </c>
    </row>
    <row r="7" spans="1:13" ht="12.75">
      <c r="A7" s="4"/>
      <c r="B7" s="4"/>
      <c r="C7" s="4"/>
      <c r="D7" s="4"/>
      <c r="E7" s="4"/>
      <c r="F7" s="4"/>
      <c r="G7" s="3"/>
      <c r="H7" s="3"/>
      <c r="I7" s="3"/>
      <c r="J7" s="3"/>
      <c r="K7" s="4"/>
      <c r="L7" s="3"/>
      <c r="M7" s="4"/>
    </row>
    <row r="8" spans="1:13" ht="15">
      <c r="A8" s="37" t="s">
        <v>239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4"/>
    </row>
    <row r="9" spans="1:13" ht="12.75">
      <c r="A9" s="6" t="s">
        <v>889</v>
      </c>
      <c r="B9" s="6" t="s">
        <v>888</v>
      </c>
      <c r="C9" s="6" t="s">
        <v>887</v>
      </c>
      <c r="D9" s="6" t="str">
        <f>"0,8800"</f>
        <v>0,8800</v>
      </c>
      <c r="E9" s="6" t="s">
        <v>93</v>
      </c>
      <c r="F9" s="6" t="s">
        <v>94</v>
      </c>
      <c r="G9" s="7" t="s">
        <v>819</v>
      </c>
      <c r="H9" s="8"/>
      <c r="I9" s="8"/>
      <c r="J9" s="8"/>
      <c r="K9" s="6" t="str">
        <f>"37,5"</f>
        <v>37,5</v>
      </c>
      <c r="L9" s="7" t="str">
        <f>"38,9400"</f>
        <v>38,9400</v>
      </c>
      <c r="M9" s="6" t="s">
        <v>28</v>
      </c>
    </row>
    <row r="10" spans="1:13" ht="12.75">
      <c r="A10" s="4"/>
      <c r="B10" s="4"/>
      <c r="C10" s="4"/>
      <c r="D10" s="4"/>
      <c r="E10" s="4"/>
      <c r="F10" s="4"/>
      <c r="G10" s="3"/>
      <c r="H10" s="3"/>
      <c r="I10" s="3"/>
      <c r="J10" s="3"/>
      <c r="K10" s="4"/>
      <c r="L10" s="3"/>
      <c r="M10" s="4"/>
    </row>
    <row r="11" spans="1:13" ht="15">
      <c r="A11" s="37" t="s">
        <v>14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"/>
    </row>
    <row r="12" spans="1:13" ht="12.75">
      <c r="A12" s="9" t="s">
        <v>886</v>
      </c>
      <c r="B12" s="9" t="s">
        <v>885</v>
      </c>
      <c r="C12" s="9" t="s">
        <v>884</v>
      </c>
      <c r="D12" s="9" t="str">
        <f>"0,8345"</f>
        <v>0,8345</v>
      </c>
      <c r="E12" s="9" t="s">
        <v>19</v>
      </c>
      <c r="F12" s="9" t="s">
        <v>869</v>
      </c>
      <c r="G12" s="10" t="s">
        <v>53</v>
      </c>
      <c r="H12" s="11" t="s">
        <v>66</v>
      </c>
      <c r="I12" s="10" t="s">
        <v>883</v>
      </c>
      <c r="J12" s="11"/>
      <c r="K12" s="9" t="str">
        <f>"52,5"</f>
        <v>52,5</v>
      </c>
      <c r="L12" s="10" t="str">
        <f>"44,6875"</f>
        <v>44,6875</v>
      </c>
      <c r="M12" s="9" t="s">
        <v>28</v>
      </c>
    </row>
    <row r="13" spans="1:13" ht="12.75">
      <c r="A13" s="15" t="s">
        <v>882</v>
      </c>
      <c r="B13" s="15" t="s">
        <v>881</v>
      </c>
      <c r="C13" s="15" t="s">
        <v>880</v>
      </c>
      <c r="D13" s="15" t="str">
        <f>"0,8128"</f>
        <v>0,8128</v>
      </c>
      <c r="E13" s="15" t="s">
        <v>19</v>
      </c>
      <c r="F13" s="15" t="s">
        <v>20</v>
      </c>
      <c r="G13" s="16" t="s">
        <v>879</v>
      </c>
      <c r="H13" s="16" t="s">
        <v>866</v>
      </c>
      <c r="I13" s="16" t="s">
        <v>38</v>
      </c>
      <c r="J13" s="17"/>
      <c r="K13" s="15" t="str">
        <f>"50,0"</f>
        <v>50,0</v>
      </c>
      <c r="L13" s="16" t="str">
        <f>"40,6400"</f>
        <v>40,6400</v>
      </c>
      <c r="M13" s="15" t="s">
        <v>28</v>
      </c>
    </row>
    <row r="14" spans="1:13" ht="12.75">
      <c r="A14" s="4"/>
      <c r="B14" s="4"/>
      <c r="C14" s="4"/>
      <c r="D14" s="4"/>
      <c r="E14" s="4"/>
      <c r="F14" s="4"/>
      <c r="G14" s="3"/>
      <c r="H14" s="3"/>
      <c r="I14" s="3"/>
      <c r="J14" s="3"/>
      <c r="K14" s="4"/>
      <c r="L14" s="3"/>
      <c r="M14" s="4"/>
    </row>
    <row r="15" spans="1:13" ht="15">
      <c r="A15" s="37" t="s">
        <v>29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"/>
    </row>
    <row r="16" spans="1:13" ht="12.75">
      <c r="A16" s="9" t="s">
        <v>878</v>
      </c>
      <c r="B16" s="9" t="s">
        <v>877</v>
      </c>
      <c r="C16" s="9" t="s">
        <v>876</v>
      </c>
      <c r="D16" s="9" t="str">
        <f>"0,7273"</f>
        <v>0,7273</v>
      </c>
      <c r="E16" s="9" t="s">
        <v>19</v>
      </c>
      <c r="F16" s="9" t="s">
        <v>48</v>
      </c>
      <c r="G16" s="10" t="s">
        <v>38</v>
      </c>
      <c r="H16" s="10" t="s">
        <v>21</v>
      </c>
      <c r="I16" s="11" t="s">
        <v>49</v>
      </c>
      <c r="J16" s="11"/>
      <c r="K16" s="9" t="str">
        <f>"55,0"</f>
        <v>55,0</v>
      </c>
      <c r="L16" s="10" t="str">
        <f>"43,2016"</f>
        <v>43,2016</v>
      </c>
      <c r="M16" s="9" t="s">
        <v>28</v>
      </c>
    </row>
    <row r="17" spans="1:13" ht="12.75">
      <c r="A17" s="12" t="s">
        <v>875</v>
      </c>
      <c r="B17" s="12" t="s">
        <v>874</v>
      </c>
      <c r="C17" s="12" t="s">
        <v>873</v>
      </c>
      <c r="D17" s="12" t="str">
        <f>"0,7258"</f>
        <v>0,7258</v>
      </c>
      <c r="E17" s="12" t="s">
        <v>19</v>
      </c>
      <c r="F17" s="12" t="s">
        <v>305</v>
      </c>
      <c r="G17" s="13" t="s">
        <v>840</v>
      </c>
      <c r="H17" s="13" t="s">
        <v>385</v>
      </c>
      <c r="I17" s="13" t="s">
        <v>66</v>
      </c>
      <c r="J17" s="14"/>
      <c r="K17" s="12" t="str">
        <f>"50,0"</f>
        <v>50,0</v>
      </c>
      <c r="L17" s="13" t="str">
        <f>"41,0077"</f>
        <v>41,0077</v>
      </c>
      <c r="M17" s="12" t="s">
        <v>28</v>
      </c>
    </row>
    <row r="18" spans="1:13" ht="12.75">
      <c r="A18" s="15" t="s">
        <v>872</v>
      </c>
      <c r="B18" s="15" t="s">
        <v>871</v>
      </c>
      <c r="C18" s="15" t="s">
        <v>870</v>
      </c>
      <c r="D18" s="15" t="str">
        <f>"0,7307"</f>
        <v>0,7307</v>
      </c>
      <c r="E18" s="15" t="s">
        <v>19</v>
      </c>
      <c r="F18" s="15" t="s">
        <v>869</v>
      </c>
      <c r="G18" s="16" t="s">
        <v>829</v>
      </c>
      <c r="H18" s="16" t="s">
        <v>385</v>
      </c>
      <c r="I18" s="17" t="s">
        <v>66</v>
      </c>
      <c r="J18" s="17"/>
      <c r="K18" s="15" t="str">
        <f>"47,5"</f>
        <v>47,5</v>
      </c>
      <c r="L18" s="16" t="str">
        <f>"34,7083"</f>
        <v>34,7083</v>
      </c>
      <c r="M18" s="15" t="s">
        <v>28</v>
      </c>
    </row>
    <row r="19" spans="1:13" ht="12.75">
      <c r="A19" s="4"/>
      <c r="B19" s="4"/>
      <c r="C19" s="4"/>
      <c r="D19" s="4"/>
      <c r="E19" s="4"/>
      <c r="F19" s="4"/>
      <c r="G19" s="3"/>
      <c r="H19" s="3"/>
      <c r="I19" s="3"/>
      <c r="J19" s="3"/>
      <c r="K19" s="4"/>
      <c r="L19" s="3"/>
      <c r="M19" s="4"/>
    </row>
    <row r="20" spans="1:13" ht="15">
      <c r="A20" s="37" t="s">
        <v>79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4"/>
    </row>
    <row r="21" spans="1:13" ht="12.75">
      <c r="A21" s="9" t="s">
        <v>868</v>
      </c>
      <c r="B21" s="9" t="s">
        <v>867</v>
      </c>
      <c r="C21" s="9" t="s">
        <v>304</v>
      </c>
      <c r="D21" s="9" t="str">
        <f>"0,6789"</f>
        <v>0,6789</v>
      </c>
      <c r="E21" s="9" t="s">
        <v>19</v>
      </c>
      <c r="F21" s="9" t="s">
        <v>48</v>
      </c>
      <c r="G21" s="10" t="s">
        <v>840</v>
      </c>
      <c r="H21" s="10" t="s">
        <v>866</v>
      </c>
      <c r="I21" s="11" t="s">
        <v>788</v>
      </c>
      <c r="J21" s="11"/>
      <c r="K21" s="9" t="str">
        <f>"47,5"</f>
        <v>47,5</v>
      </c>
      <c r="L21" s="10" t="str">
        <f>"34,8276"</f>
        <v>34,8276</v>
      </c>
      <c r="M21" s="9" t="s">
        <v>28</v>
      </c>
    </row>
    <row r="22" spans="1:13" ht="12.75">
      <c r="A22" s="12" t="s">
        <v>586</v>
      </c>
      <c r="B22" s="12" t="s">
        <v>587</v>
      </c>
      <c r="C22" s="12" t="s">
        <v>588</v>
      </c>
      <c r="D22" s="12" t="str">
        <f>"0,6805"</f>
        <v>0,6805</v>
      </c>
      <c r="E22" s="12" t="s">
        <v>589</v>
      </c>
      <c r="F22" s="12" t="s">
        <v>20</v>
      </c>
      <c r="G22" s="13" t="s">
        <v>52</v>
      </c>
      <c r="H22" s="13" t="s">
        <v>385</v>
      </c>
      <c r="I22" s="13" t="s">
        <v>788</v>
      </c>
      <c r="J22" s="14"/>
      <c r="K22" s="12" t="str">
        <f>"52,5"</f>
        <v>52,5</v>
      </c>
      <c r="L22" s="13" t="str">
        <f>"37,1553"</f>
        <v>37,1553</v>
      </c>
      <c r="M22" s="12" t="s">
        <v>28</v>
      </c>
    </row>
    <row r="23" spans="1:13" ht="12.75">
      <c r="A23" s="12" t="s">
        <v>865</v>
      </c>
      <c r="B23" s="12" t="s">
        <v>864</v>
      </c>
      <c r="C23" s="12" t="s">
        <v>863</v>
      </c>
      <c r="D23" s="12" t="str">
        <f>"0,6760"</f>
        <v>0,6760</v>
      </c>
      <c r="E23" s="12" t="s">
        <v>93</v>
      </c>
      <c r="F23" s="12" t="s">
        <v>94</v>
      </c>
      <c r="G23" s="13" t="s">
        <v>50</v>
      </c>
      <c r="H23" s="14"/>
      <c r="I23" s="14"/>
      <c r="J23" s="14"/>
      <c r="K23" s="12" t="str">
        <f>"65,0"</f>
        <v>65,0</v>
      </c>
      <c r="L23" s="13" t="str">
        <f>"43,9400"</f>
        <v>43,9400</v>
      </c>
      <c r="M23" s="12" t="s">
        <v>28</v>
      </c>
    </row>
    <row r="24" spans="1:13" ht="12.75">
      <c r="A24" s="12" t="s">
        <v>862</v>
      </c>
      <c r="B24" s="12" t="s">
        <v>861</v>
      </c>
      <c r="C24" s="12" t="s">
        <v>399</v>
      </c>
      <c r="D24" s="12" t="str">
        <f>"0,6680"</f>
        <v>0,6680</v>
      </c>
      <c r="E24" s="12" t="s">
        <v>19</v>
      </c>
      <c r="F24" s="12" t="s">
        <v>860</v>
      </c>
      <c r="G24" s="13" t="s">
        <v>50</v>
      </c>
      <c r="H24" s="14"/>
      <c r="I24" s="14"/>
      <c r="J24" s="14"/>
      <c r="K24" s="12" t="str">
        <f>"65,0"</f>
        <v>65,0</v>
      </c>
      <c r="L24" s="13" t="str">
        <f>"43,4200"</f>
        <v>43,4200</v>
      </c>
      <c r="M24" s="12" t="s">
        <v>28</v>
      </c>
    </row>
    <row r="25" spans="1:13" ht="12.75">
      <c r="A25" s="15" t="s">
        <v>859</v>
      </c>
      <c r="B25" s="15" t="s">
        <v>858</v>
      </c>
      <c r="C25" s="15" t="s">
        <v>588</v>
      </c>
      <c r="D25" s="15" t="str">
        <f>"0,6805"</f>
        <v>0,6805</v>
      </c>
      <c r="E25" s="15" t="s">
        <v>589</v>
      </c>
      <c r="F25" s="15" t="s">
        <v>20</v>
      </c>
      <c r="G25" s="16" t="s">
        <v>52</v>
      </c>
      <c r="H25" s="16" t="s">
        <v>385</v>
      </c>
      <c r="I25" s="16" t="s">
        <v>788</v>
      </c>
      <c r="J25" s="17"/>
      <c r="K25" s="15" t="str">
        <f>"52,5"</f>
        <v>52,5</v>
      </c>
      <c r="L25" s="16" t="str">
        <f>"35,7262"</f>
        <v>35,7262</v>
      </c>
      <c r="M25" s="15" t="s">
        <v>28</v>
      </c>
    </row>
    <row r="26" spans="1:13" ht="12.75">
      <c r="A26" s="4"/>
      <c r="B26" s="4"/>
      <c r="C26" s="4"/>
      <c r="D26" s="4"/>
      <c r="E26" s="4"/>
      <c r="F26" s="4"/>
      <c r="G26" s="3"/>
      <c r="H26" s="3"/>
      <c r="I26" s="3"/>
      <c r="J26" s="3"/>
      <c r="K26" s="4"/>
      <c r="L26" s="3"/>
      <c r="M26" s="4"/>
    </row>
    <row r="27" spans="1:13" ht="15">
      <c r="A27" s="37" t="s">
        <v>169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4"/>
    </row>
    <row r="28" spans="1:13" ht="12.75">
      <c r="A28" s="9" t="s">
        <v>857</v>
      </c>
      <c r="B28" s="9" t="s">
        <v>856</v>
      </c>
      <c r="C28" s="9" t="s">
        <v>855</v>
      </c>
      <c r="D28" s="9" t="str">
        <f>"0,6338"</f>
        <v>0,6338</v>
      </c>
      <c r="E28" s="9" t="s">
        <v>19</v>
      </c>
      <c r="F28" s="9" t="s">
        <v>20</v>
      </c>
      <c r="G28" s="10" t="s">
        <v>850</v>
      </c>
      <c r="H28" s="11" t="s">
        <v>796</v>
      </c>
      <c r="I28" s="10" t="s">
        <v>849</v>
      </c>
      <c r="J28" s="11"/>
      <c r="K28" s="9" t="str">
        <f>"62,5"</f>
        <v>62,5</v>
      </c>
      <c r="L28" s="10" t="str">
        <f>"39,6125"</f>
        <v>39,6125</v>
      </c>
      <c r="M28" s="9" t="s">
        <v>28</v>
      </c>
    </row>
    <row r="29" spans="1:13" ht="12.75">
      <c r="A29" s="12" t="s">
        <v>854</v>
      </c>
      <c r="B29" s="12" t="s">
        <v>853</v>
      </c>
      <c r="C29" s="12" t="s">
        <v>224</v>
      </c>
      <c r="D29" s="12" t="str">
        <f>"0,6219"</f>
        <v>0,6219</v>
      </c>
      <c r="E29" s="12" t="s">
        <v>776</v>
      </c>
      <c r="F29" s="12" t="s">
        <v>20</v>
      </c>
      <c r="G29" s="13" t="s">
        <v>50</v>
      </c>
      <c r="H29" s="13" t="s">
        <v>51</v>
      </c>
      <c r="I29" s="14" t="s">
        <v>380</v>
      </c>
      <c r="J29" s="14"/>
      <c r="K29" s="12" t="str">
        <f>"70,0"</f>
        <v>70,0</v>
      </c>
      <c r="L29" s="13" t="str">
        <f>"43,5330"</f>
        <v>43,5330</v>
      </c>
      <c r="M29" s="12" t="s">
        <v>28</v>
      </c>
    </row>
    <row r="30" spans="1:13" ht="12.75">
      <c r="A30" s="12" t="s">
        <v>852</v>
      </c>
      <c r="B30" s="12" t="s">
        <v>851</v>
      </c>
      <c r="C30" s="12" t="s">
        <v>257</v>
      </c>
      <c r="D30" s="12" t="str">
        <f>"0,6198"</f>
        <v>0,6198</v>
      </c>
      <c r="E30" s="12" t="s">
        <v>19</v>
      </c>
      <c r="F30" s="12" t="s">
        <v>305</v>
      </c>
      <c r="G30" s="13" t="s">
        <v>38</v>
      </c>
      <c r="H30" s="13" t="s">
        <v>850</v>
      </c>
      <c r="I30" s="13" t="s">
        <v>849</v>
      </c>
      <c r="J30" s="14"/>
      <c r="K30" s="12" t="str">
        <f>"62,5"</f>
        <v>62,5</v>
      </c>
      <c r="L30" s="13" t="str">
        <f>"38,7375"</f>
        <v>38,7375</v>
      </c>
      <c r="M30" s="12" t="s">
        <v>28</v>
      </c>
    </row>
    <row r="31" spans="1:13" ht="12.75">
      <c r="A31" s="12" t="s">
        <v>848</v>
      </c>
      <c r="B31" s="12" t="s">
        <v>847</v>
      </c>
      <c r="C31" s="12" t="s">
        <v>185</v>
      </c>
      <c r="D31" s="12" t="str">
        <f>"0,6454"</f>
        <v>0,6454</v>
      </c>
      <c r="E31" s="12" t="s">
        <v>19</v>
      </c>
      <c r="F31" s="12" t="s">
        <v>20</v>
      </c>
      <c r="G31" s="13" t="s">
        <v>49</v>
      </c>
      <c r="H31" s="14"/>
      <c r="I31" s="14"/>
      <c r="J31" s="14"/>
      <c r="K31" s="12" t="str">
        <f>"60,0"</f>
        <v>60,0</v>
      </c>
      <c r="L31" s="13" t="str">
        <f>"38,7240"</f>
        <v>38,7240</v>
      </c>
      <c r="M31" s="12" t="s">
        <v>28</v>
      </c>
    </row>
    <row r="32" spans="1:13" ht="12.75">
      <c r="A32" s="12" t="s">
        <v>846</v>
      </c>
      <c r="B32" s="12" t="s">
        <v>845</v>
      </c>
      <c r="C32" s="12" t="s">
        <v>844</v>
      </c>
      <c r="D32" s="12" t="str">
        <f>"0,6388"</f>
        <v>0,6388</v>
      </c>
      <c r="E32" s="12" t="s">
        <v>19</v>
      </c>
      <c r="F32" s="12" t="s">
        <v>20</v>
      </c>
      <c r="G32" s="13" t="s">
        <v>66</v>
      </c>
      <c r="H32" s="13" t="s">
        <v>39</v>
      </c>
      <c r="I32" s="14" t="s">
        <v>372</v>
      </c>
      <c r="J32" s="14"/>
      <c r="K32" s="12" t="str">
        <f>"55,0"</f>
        <v>55,0</v>
      </c>
      <c r="L32" s="13" t="str">
        <f>"35,1340"</f>
        <v>35,1340</v>
      </c>
      <c r="M32" s="12" t="s">
        <v>28</v>
      </c>
    </row>
    <row r="33" spans="1:13" ht="12.75">
      <c r="A33" s="12" t="s">
        <v>843</v>
      </c>
      <c r="B33" s="12" t="s">
        <v>842</v>
      </c>
      <c r="C33" s="12" t="s">
        <v>841</v>
      </c>
      <c r="D33" s="12" t="str">
        <f>"0,6307"</f>
        <v>0,6307</v>
      </c>
      <c r="E33" s="12" t="s">
        <v>19</v>
      </c>
      <c r="F33" s="12" t="s">
        <v>20</v>
      </c>
      <c r="G33" s="13" t="s">
        <v>840</v>
      </c>
      <c r="H33" s="13" t="s">
        <v>38</v>
      </c>
      <c r="I33" s="13" t="s">
        <v>21</v>
      </c>
      <c r="J33" s="14"/>
      <c r="K33" s="12" t="str">
        <f>"55,0"</f>
        <v>55,0</v>
      </c>
      <c r="L33" s="13" t="str">
        <f>"35,3129"</f>
        <v>35,3129</v>
      </c>
      <c r="M33" s="12" t="s">
        <v>28</v>
      </c>
    </row>
    <row r="34" spans="1:13" ht="12.75">
      <c r="A34" s="15" t="s">
        <v>839</v>
      </c>
      <c r="B34" s="15" t="s">
        <v>838</v>
      </c>
      <c r="C34" s="15" t="s">
        <v>698</v>
      </c>
      <c r="D34" s="15" t="str">
        <f>"0,6193"</f>
        <v>0,6193</v>
      </c>
      <c r="E34" s="15" t="s">
        <v>93</v>
      </c>
      <c r="F34" s="15" t="s">
        <v>94</v>
      </c>
      <c r="G34" s="16" t="s">
        <v>49</v>
      </c>
      <c r="H34" s="17"/>
      <c r="I34" s="17"/>
      <c r="J34" s="17"/>
      <c r="K34" s="15" t="str">
        <f>"60,0"</f>
        <v>60,0</v>
      </c>
      <c r="L34" s="16" t="str">
        <f>"39,7219"</f>
        <v>39,7219</v>
      </c>
      <c r="M34" s="15" t="s">
        <v>28</v>
      </c>
    </row>
    <row r="35" spans="1:13" ht="12.75">
      <c r="A35" s="4"/>
      <c r="B35" s="4"/>
      <c r="C35" s="4"/>
      <c r="D35" s="4"/>
      <c r="E35" s="4"/>
      <c r="F35" s="4"/>
      <c r="G35" s="3"/>
      <c r="H35" s="3"/>
      <c r="I35" s="3"/>
      <c r="J35" s="3"/>
      <c r="K35" s="4"/>
      <c r="L35" s="3"/>
      <c r="M35" s="4"/>
    </row>
    <row r="36" spans="1:13" ht="15">
      <c r="A36" s="37" t="s">
        <v>261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4"/>
    </row>
    <row r="37" spans="1:13" ht="12.75">
      <c r="A37" s="9" t="s">
        <v>726</v>
      </c>
      <c r="B37" s="9" t="s">
        <v>837</v>
      </c>
      <c r="C37" s="9" t="s">
        <v>724</v>
      </c>
      <c r="D37" s="9" t="str">
        <f>"0,5926"</f>
        <v>0,5926</v>
      </c>
      <c r="E37" s="9" t="s">
        <v>93</v>
      </c>
      <c r="F37" s="9" t="s">
        <v>94</v>
      </c>
      <c r="G37" s="10" t="s">
        <v>372</v>
      </c>
      <c r="H37" s="10" t="s">
        <v>50</v>
      </c>
      <c r="I37" s="11" t="s">
        <v>128</v>
      </c>
      <c r="J37" s="11"/>
      <c r="K37" s="9" t="str">
        <f>"65,0"</f>
        <v>65,0</v>
      </c>
      <c r="L37" s="10" t="str">
        <f>"40,8301"</f>
        <v>40,8301</v>
      </c>
      <c r="M37" s="9" t="s">
        <v>28</v>
      </c>
    </row>
    <row r="38" spans="1:13" ht="12.75">
      <c r="A38" s="12" t="s">
        <v>836</v>
      </c>
      <c r="B38" s="12" t="s">
        <v>429</v>
      </c>
      <c r="C38" s="12" t="s">
        <v>430</v>
      </c>
      <c r="D38" s="12" t="str">
        <f>"0,5869"</f>
        <v>0,5869</v>
      </c>
      <c r="E38" s="12" t="s">
        <v>19</v>
      </c>
      <c r="F38" s="12" t="s">
        <v>20</v>
      </c>
      <c r="G38" s="13" t="s">
        <v>23</v>
      </c>
      <c r="H38" s="13" t="s">
        <v>835</v>
      </c>
      <c r="I38" s="14" t="s">
        <v>65</v>
      </c>
      <c r="J38" s="14"/>
      <c r="K38" s="12" t="str">
        <f>"72,5"</f>
        <v>72,5</v>
      </c>
      <c r="L38" s="13" t="str">
        <f>"42,5502"</f>
        <v>42,5502</v>
      </c>
      <c r="M38" s="12" t="s">
        <v>28</v>
      </c>
    </row>
    <row r="39" spans="1:13" ht="12.75">
      <c r="A39" s="12" t="s">
        <v>717</v>
      </c>
      <c r="B39" s="12" t="s">
        <v>716</v>
      </c>
      <c r="C39" s="12" t="s">
        <v>715</v>
      </c>
      <c r="D39" s="12" t="str">
        <f>"0,5918"</f>
        <v>0,5918</v>
      </c>
      <c r="E39" s="12" t="s">
        <v>93</v>
      </c>
      <c r="F39" s="12" t="s">
        <v>94</v>
      </c>
      <c r="G39" s="14" t="s">
        <v>796</v>
      </c>
      <c r="H39" s="14" t="s">
        <v>796</v>
      </c>
      <c r="I39" s="13" t="s">
        <v>796</v>
      </c>
      <c r="J39" s="14"/>
      <c r="K39" s="12" t="str">
        <f>"62,5"</f>
        <v>62,5</v>
      </c>
      <c r="L39" s="13" t="str">
        <f>"36,9875"</f>
        <v>36,9875</v>
      </c>
      <c r="M39" s="12" t="s">
        <v>28</v>
      </c>
    </row>
    <row r="40" spans="1:13" ht="12.75">
      <c r="A40" s="15" t="s">
        <v>834</v>
      </c>
      <c r="B40" s="15" t="s">
        <v>833</v>
      </c>
      <c r="C40" s="15" t="s">
        <v>832</v>
      </c>
      <c r="D40" s="15" t="str">
        <f>"0,6072"</f>
        <v>0,6072</v>
      </c>
      <c r="E40" s="15" t="s">
        <v>776</v>
      </c>
      <c r="F40" s="15" t="s">
        <v>20</v>
      </c>
      <c r="G40" s="16" t="s">
        <v>39</v>
      </c>
      <c r="H40" s="17"/>
      <c r="I40" s="17"/>
      <c r="J40" s="17"/>
      <c r="K40" s="15" t="str">
        <f>"55,0"</f>
        <v>55,0</v>
      </c>
      <c r="L40" s="16" t="str">
        <f>"34,4284"</f>
        <v>34,4284</v>
      </c>
      <c r="M40" s="15" t="s">
        <v>28</v>
      </c>
    </row>
    <row r="41" spans="1:13" ht="12.75">
      <c r="A41" s="4"/>
      <c r="B41" s="4"/>
      <c r="C41" s="4"/>
      <c r="D41" s="4"/>
      <c r="E41" s="4"/>
      <c r="F41" s="4"/>
      <c r="G41" s="3"/>
      <c r="H41" s="3"/>
      <c r="I41" s="3"/>
      <c r="J41" s="3"/>
      <c r="K41" s="4"/>
      <c r="L41" s="3"/>
      <c r="M41" s="4"/>
    </row>
    <row r="42" spans="1:13" ht="15">
      <c r="A42" s="37" t="s">
        <v>100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4"/>
    </row>
    <row r="43" spans="1:13" ht="12.75">
      <c r="A43" s="9" t="s">
        <v>831</v>
      </c>
      <c r="B43" s="9" t="s">
        <v>830</v>
      </c>
      <c r="C43" s="9" t="s">
        <v>322</v>
      </c>
      <c r="D43" s="9" t="str">
        <f>"0,5599"</f>
        <v>0,5599</v>
      </c>
      <c r="E43" s="9" t="s">
        <v>93</v>
      </c>
      <c r="F43" s="9" t="s">
        <v>94</v>
      </c>
      <c r="G43" s="10" t="s">
        <v>829</v>
      </c>
      <c r="H43" s="10" t="s">
        <v>53</v>
      </c>
      <c r="I43" s="10" t="s">
        <v>788</v>
      </c>
      <c r="J43" s="11"/>
      <c r="K43" s="9" t="str">
        <f>"52,5"</f>
        <v>52,5</v>
      </c>
      <c r="L43" s="10" t="str">
        <f>"29,3947"</f>
        <v>29,3947</v>
      </c>
      <c r="M43" s="9" t="s">
        <v>28</v>
      </c>
    </row>
    <row r="44" spans="1:13" ht="12.75">
      <c r="A44" s="15" t="s">
        <v>707</v>
      </c>
      <c r="B44" s="15" t="s">
        <v>828</v>
      </c>
      <c r="C44" s="15" t="s">
        <v>447</v>
      </c>
      <c r="D44" s="15" t="str">
        <f>"0,5678"</f>
        <v>0,5678</v>
      </c>
      <c r="E44" s="15" t="s">
        <v>93</v>
      </c>
      <c r="F44" s="15" t="s">
        <v>94</v>
      </c>
      <c r="G44" s="16" t="s">
        <v>788</v>
      </c>
      <c r="H44" s="16" t="s">
        <v>372</v>
      </c>
      <c r="I44" s="17" t="s">
        <v>49</v>
      </c>
      <c r="J44" s="17"/>
      <c r="K44" s="15" t="str">
        <f>"57,5"</f>
        <v>57,5</v>
      </c>
      <c r="L44" s="16" t="str">
        <f>"37,3499"</f>
        <v>37,3499</v>
      </c>
      <c r="M44" s="15" t="s">
        <v>28</v>
      </c>
    </row>
    <row r="45" spans="1:13" ht="12.75">
      <c r="A45" s="4"/>
      <c r="B45" s="4"/>
      <c r="C45" s="4"/>
      <c r="D45" s="4"/>
      <c r="E45" s="4"/>
      <c r="F45" s="4"/>
      <c r="G45" s="3"/>
      <c r="H45" s="3"/>
      <c r="I45" s="3"/>
      <c r="J45" s="3"/>
      <c r="K45" s="4"/>
      <c r="L45" s="3"/>
      <c r="M45" s="4"/>
    </row>
    <row r="46" spans="1:13" ht="15">
      <c r="A46" s="37" t="s">
        <v>270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4"/>
    </row>
    <row r="47" spans="1:13" ht="12.75">
      <c r="A47" s="6" t="s">
        <v>460</v>
      </c>
      <c r="B47" s="6" t="s">
        <v>461</v>
      </c>
      <c r="C47" s="6" t="s">
        <v>273</v>
      </c>
      <c r="D47" s="6" t="str">
        <f>"0,5413"</f>
        <v>0,5413</v>
      </c>
      <c r="E47" s="6" t="s">
        <v>47</v>
      </c>
      <c r="F47" s="6" t="s">
        <v>48</v>
      </c>
      <c r="G47" s="7" t="s">
        <v>65</v>
      </c>
      <c r="H47" s="7" t="s">
        <v>67</v>
      </c>
      <c r="I47" s="8" t="s">
        <v>68</v>
      </c>
      <c r="J47" s="8"/>
      <c r="K47" s="6" t="str">
        <f>"80,0"</f>
        <v>80,0</v>
      </c>
      <c r="L47" s="7" t="str">
        <f>"43,3040"</f>
        <v>43,3040</v>
      </c>
      <c r="M47" s="6" t="s">
        <v>28</v>
      </c>
    </row>
    <row r="48" spans="1:13" ht="12.75">
      <c r="A48" s="4"/>
      <c r="B48" s="4"/>
      <c r="C48" s="4"/>
      <c r="D48" s="4"/>
      <c r="E48" s="4"/>
      <c r="F48" s="4"/>
      <c r="G48" s="3"/>
      <c r="H48" s="3"/>
      <c r="I48" s="3"/>
      <c r="J48" s="3"/>
      <c r="K48" s="4"/>
      <c r="L48" s="3"/>
      <c r="M48" s="4"/>
    </row>
    <row r="49" spans="1:13" ht="15">
      <c r="A49" s="4"/>
      <c r="B49" s="4"/>
      <c r="C49" s="4"/>
      <c r="D49" s="4"/>
      <c r="E49" s="18" t="s">
        <v>112</v>
      </c>
      <c r="F49" s="18" t="s">
        <v>151</v>
      </c>
      <c r="G49" s="3"/>
      <c r="H49" s="3"/>
      <c r="I49" s="3"/>
      <c r="J49" s="3"/>
      <c r="K49" s="4"/>
      <c r="L49" s="3"/>
      <c r="M49" s="4"/>
    </row>
    <row r="50" spans="1:13" ht="15">
      <c r="A50" s="4"/>
      <c r="B50" s="4"/>
      <c r="C50" s="4"/>
      <c r="D50" s="4"/>
      <c r="E50" s="18" t="s">
        <v>113</v>
      </c>
      <c r="F50" s="18" t="s">
        <v>152</v>
      </c>
      <c r="G50" s="3"/>
      <c r="H50" s="3"/>
      <c r="I50" s="3"/>
      <c r="J50" s="3"/>
      <c r="K50" s="4"/>
      <c r="L50" s="3"/>
      <c r="M50" s="4"/>
    </row>
    <row r="51" spans="1:13" ht="15">
      <c r="A51" s="4"/>
      <c r="B51" s="4"/>
      <c r="C51" s="4"/>
      <c r="D51" s="4"/>
      <c r="E51" s="18" t="s">
        <v>114</v>
      </c>
      <c r="F51" s="18" t="s">
        <v>153</v>
      </c>
      <c r="G51" s="3"/>
      <c r="H51" s="3"/>
      <c r="I51" s="3"/>
      <c r="J51" s="3"/>
      <c r="K51" s="4"/>
      <c r="L51" s="3"/>
      <c r="M51" s="4"/>
    </row>
    <row r="52" spans="1:13" ht="15">
      <c r="A52" s="4"/>
      <c r="B52" s="4"/>
      <c r="C52" s="4"/>
      <c r="D52" s="4"/>
      <c r="E52" s="18" t="s">
        <v>115</v>
      </c>
      <c r="F52" s="18" t="s">
        <v>692</v>
      </c>
      <c r="G52" s="3"/>
      <c r="H52" s="3"/>
      <c r="I52" s="3"/>
      <c r="J52" s="3"/>
      <c r="K52" s="4"/>
      <c r="L52" s="3"/>
      <c r="M52" s="4"/>
    </row>
    <row r="53" spans="1:13" ht="15">
      <c r="A53" s="4"/>
      <c r="B53" s="4"/>
      <c r="C53" s="4"/>
      <c r="D53" s="4"/>
      <c r="E53" s="18" t="s">
        <v>115</v>
      </c>
      <c r="F53" s="18" t="s">
        <v>691</v>
      </c>
      <c r="G53" s="3"/>
      <c r="H53" s="3"/>
      <c r="I53" s="3"/>
      <c r="J53" s="3"/>
      <c r="K53" s="4"/>
      <c r="L53" s="3"/>
      <c r="M53" s="4"/>
    </row>
    <row r="54" spans="1:13" ht="15">
      <c r="A54" s="4"/>
      <c r="B54" s="4"/>
      <c r="C54" s="4"/>
      <c r="D54" s="4"/>
      <c r="E54" s="18"/>
      <c r="F54" s="4"/>
      <c r="G54" s="3"/>
      <c r="H54" s="3"/>
      <c r="I54" s="3"/>
      <c r="J54" s="3"/>
      <c r="K54" s="4"/>
      <c r="L54" s="3"/>
      <c r="M54" s="4"/>
    </row>
    <row r="55" spans="1:13" ht="15">
      <c r="A55" s="4"/>
      <c r="B55" s="4"/>
      <c r="C55" s="4"/>
      <c r="D55" s="4"/>
      <c r="E55" s="18"/>
      <c r="F55" s="4"/>
      <c r="G55" s="3"/>
      <c r="H55" s="3"/>
      <c r="I55" s="3"/>
      <c r="J55" s="3"/>
      <c r="K55" s="4"/>
      <c r="L55" s="3"/>
      <c r="M55" s="4"/>
    </row>
    <row r="56" spans="1:13" ht="12.75">
      <c r="A56" s="4"/>
      <c r="B56" s="4"/>
      <c r="C56" s="4"/>
      <c r="D56" s="4"/>
      <c r="E56" s="4"/>
      <c r="F56" s="4"/>
      <c r="G56" s="3"/>
      <c r="H56" s="3"/>
      <c r="I56" s="3"/>
      <c r="J56" s="3"/>
      <c r="K56" s="4"/>
      <c r="L56" s="3"/>
      <c r="M56" s="4"/>
    </row>
    <row r="57" spans="1:13" ht="18">
      <c r="A57" s="19" t="s">
        <v>116</v>
      </c>
      <c r="B57" s="19"/>
      <c r="C57" s="4"/>
      <c r="D57" s="4"/>
      <c r="E57" s="4"/>
      <c r="F57" s="4"/>
      <c r="G57" s="3"/>
      <c r="H57" s="3"/>
      <c r="I57" s="3"/>
      <c r="J57" s="3"/>
      <c r="K57" s="4"/>
      <c r="L57" s="3"/>
      <c r="M57" s="4"/>
    </row>
    <row r="58" spans="1:13" ht="15">
      <c r="A58" s="20" t="s">
        <v>117</v>
      </c>
      <c r="B58" s="20"/>
      <c r="C58" s="4"/>
      <c r="D58" s="4"/>
      <c r="E58" s="4"/>
      <c r="F58" s="4"/>
      <c r="G58" s="3"/>
      <c r="H58" s="3"/>
      <c r="I58" s="3"/>
      <c r="J58" s="3"/>
      <c r="K58" s="4"/>
      <c r="L58" s="3"/>
      <c r="M58" s="4"/>
    </row>
    <row r="59" spans="1:13" ht="14.25">
      <c r="A59" s="22"/>
      <c r="B59" s="23" t="s">
        <v>471</v>
      </c>
      <c r="C59" s="4"/>
      <c r="D59" s="4"/>
      <c r="E59" s="4"/>
      <c r="F59" s="4"/>
      <c r="G59" s="3"/>
      <c r="H59" s="3"/>
      <c r="I59" s="3"/>
      <c r="J59" s="3"/>
      <c r="K59" s="4"/>
      <c r="L59" s="3"/>
      <c r="M59" s="4"/>
    </row>
    <row r="60" spans="1:13" ht="15">
      <c r="A60" s="24" t="s">
        <v>119</v>
      </c>
      <c r="B60" s="24" t="s">
        <v>120</v>
      </c>
      <c r="C60" s="24" t="s">
        <v>121</v>
      </c>
      <c r="D60" s="24" t="s">
        <v>122</v>
      </c>
      <c r="E60" s="24" t="s">
        <v>123</v>
      </c>
      <c r="F60" s="4"/>
      <c r="G60" s="3"/>
      <c r="H60" s="3"/>
      <c r="I60" s="3"/>
      <c r="J60" s="3"/>
      <c r="K60" s="4"/>
      <c r="L60" s="3"/>
      <c r="M60" s="4"/>
    </row>
    <row r="61" spans="1:13" ht="12.75">
      <c r="A61" s="21" t="s">
        <v>474</v>
      </c>
      <c r="B61" s="4" t="s">
        <v>475</v>
      </c>
      <c r="C61" s="4" t="s">
        <v>65</v>
      </c>
      <c r="D61" s="4" t="s">
        <v>827</v>
      </c>
      <c r="E61" s="25" t="s">
        <v>826</v>
      </c>
      <c r="F61" s="4"/>
      <c r="G61" s="3"/>
      <c r="H61" s="3"/>
      <c r="I61" s="3"/>
      <c r="J61" s="3"/>
      <c r="K61" s="4"/>
      <c r="L61" s="3"/>
      <c r="M61" s="4"/>
    </row>
    <row r="62" spans="1:13" ht="12.75">
      <c r="A62" s="4"/>
      <c r="B62" s="4"/>
      <c r="C62" s="4"/>
      <c r="D62" s="4"/>
      <c r="E62" s="4"/>
      <c r="F62" s="4"/>
      <c r="G62" s="3"/>
      <c r="H62" s="3"/>
      <c r="I62" s="3"/>
      <c r="J62" s="3"/>
      <c r="K62" s="4"/>
      <c r="L62" s="3"/>
      <c r="M62" s="4"/>
    </row>
    <row r="63" spans="1:13" ht="12.75">
      <c r="A63" s="4"/>
      <c r="B63" s="4"/>
      <c r="C63" s="4"/>
      <c r="D63" s="4"/>
      <c r="E63" s="4"/>
      <c r="F63" s="4"/>
      <c r="G63" s="3"/>
      <c r="H63" s="3"/>
      <c r="I63" s="3"/>
      <c r="J63" s="3"/>
      <c r="K63" s="4"/>
      <c r="L63" s="3"/>
      <c r="M63" s="4"/>
    </row>
    <row r="64" spans="1:13" ht="15">
      <c r="A64" s="20" t="s">
        <v>136</v>
      </c>
      <c r="B64" s="20"/>
      <c r="C64" s="4"/>
      <c r="D64" s="4"/>
      <c r="E64" s="4"/>
      <c r="F64" s="4"/>
      <c r="G64" s="3"/>
      <c r="H64" s="3"/>
      <c r="I64" s="3"/>
      <c r="J64" s="3"/>
      <c r="K64" s="4"/>
      <c r="L64" s="3"/>
      <c r="M64" s="4"/>
    </row>
    <row r="65" spans="1:13" ht="14.25">
      <c r="A65" s="22"/>
      <c r="B65" s="23" t="s">
        <v>137</v>
      </c>
      <c r="C65" s="4"/>
      <c r="D65" s="4"/>
      <c r="E65" s="4"/>
      <c r="F65" s="4"/>
      <c r="G65" s="3"/>
      <c r="H65" s="3"/>
      <c r="I65" s="3"/>
      <c r="J65" s="3"/>
      <c r="K65" s="4"/>
      <c r="L65" s="3"/>
      <c r="M65" s="4"/>
    </row>
    <row r="66" spans="1:13" ht="15">
      <c r="A66" s="24" t="s">
        <v>119</v>
      </c>
      <c r="B66" s="24" t="s">
        <v>120</v>
      </c>
      <c r="C66" s="24" t="s">
        <v>121</v>
      </c>
      <c r="D66" s="24" t="s">
        <v>122</v>
      </c>
      <c r="E66" s="24" t="s">
        <v>123</v>
      </c>
      <c r="F66" s="4"/>
      <c r="G66" s="3"/>
      <c r="H66" s="3"/>
      <c r="I66" s="3"/>
      <c r="J66" s="3"/>
      <c r="K66" s="4"/>
      <c r="L66" s="3"/>
      <c r="M66" s="4"/>
    </row>
    <row r="67" spans="1:13" ht="12.75">
      <c r="A67" s="21" t="s">
        <v>825</v>
      </c>
      <c r="B67" s="4" t="s">
        <v>475</v>
      </c>
      <c r="C67" s="4" t="s">
        <v>128</v>
      </c>
      <c r="D67" s="4" t="s">
        <v>39</v>
      </c>
      <c r="E67" s="25" t="s">
        <v>824</v>
      </c>
      <c r="F67" s="4"/>
      <c r="G67" s="3"/>
      <c r="H67" s="3"/>
      <c r="I67" s="3"/>
      <c r="J67" s="3"/>
      <c r="K67" s="4"/>
      <c r="L67" s="3"/>
      <c r="M67" s="4"/>
    </row>
    <row r="68" spans="1:13" ht="12.75">
      <c r="A68" s="21" t="s">
        <v>823</v>
      </c>
      <c r="B68" s="4" t="s">
        <v>475</v>
      </c>
      <c r="C68" s="4" t="s">
        <v>128</v>
      </c>
      <c r="D68" s="4" t="s">
        <v>66</v>
      </c>
      <c r="E68" s="25" t="s">
        <v>822</v>
      </c>
      <c r="F68" s="4"/>
      <c r="G68" s="3"/>
      <c r="H68" s="3"/>
      <c r="I68" s="3"/>
      <c r="J68" s="3"/>
      <c r="K68" s="4"/>
      <c r="L68" s="3"/>
      <c r="M68" s="4"/>
    </row>
    <row r="69" spans="1:13" ht="12.75">
      <c r="A69" s="21" t="s">
        <v>690</v>
      </c>
      <c r="B69" s="4" t="s">
        <v>350</v>
      </c>
      <c r="C69" s="4" t="s">
        <v>40</v>
      </c>
      <c r="D69" s="4" t="s">
        <v>50</v>
      </c>
      <c r="E69" s="25" t="s">
        <v>821</v>
      </c>
      <c r="F69" s="4"/>
      <c r="G69" s="3"/>
      <c r="H69" s="3"/>
      <c r="I69" s="3"/>
      <c r="J69" s="3"/>
      <c r="K69" s="4"/>
      <c r="L69" s="3"/>
      <c r="M69" s="4"/>
    </row>
    <row r="70" spans="1:13" ht="12.75">
      <c r="A70" s="21" t="s">
        <v>820</v>
      </c>
      <c r="B70" s="4" t="s">
        <v>138</v>
      </c>
      <c r="C70" s="4" t="s">
        <v>277</v>
      </c>
      <c r="D70" s="4" t="s">
        <v>819</v>
      </c>
      <c r="E70" s="25" t="s">
        <v>818</v>
      </c>
      <c r="F70" s="4"/>
      <c r="G70" s="3"/>
      <c r="H70" s="3"/>
      <c r="I70" s="3"/>
      <c r="J70" s="3"/>
      <c r="K70" s="4"/>
      <c r="L70" s="3"/>
      <c r="M70" s="4"/>
    </row>
    <row r="71" spans="1:13" ht="12.75">
      <c r="A71" s="21" t="s">
        <v>617</v>
      </c>
      <c r="B71" s="4" t="s">
        <v>350</v>
      </c>
      <c r="C71" s="4" t="s">
        <v>65</v>
      </c>
      <c r="D71" s="4" t="s">
        <v>788</v>
      </c>
      <c r="E71" s="25" t="s">
        <v>817</v>
      </c>
      <c r="F71" s="4"/>
      <c r="G71" s="3"/>
      <c r="H71" s="3"/>
      <c r="I71" s="3"/>
      <c r="J71" s="3"/>
      <c r="K71" s="4"/>
      <c r="L71" s="3"/>
      <c r="M71" s="4"/>
    </row>
    <row r="72" spans="1:13" ht="12.75">
      <c r="A72" s="21" t="s">
        <v>816</v>
      </c>
      <c r="B72" s="4" t="s">
        <v>475</v>
      </c>
      <c r="C72" s="4" t="s">
        <v>65</v>
      </c>
      <c r="D72" s="4" t="s">
        <v>385</v>
      </c>
      <c r="E72" s="25" t="s">
        <v>815</v>
      </c>
      <c r="F72" s="4"/>
      <c r="G72" s="3"/>
      <c r="H72" s="3"/>
      <c r="I72" s="3"/>
      <c r="J72" s="3"/>
      <c r="K72" s="4"/>
      <c r="L72" s="3"/>
      <c r="M72" s="4"/>
    </row>
    <row r="73" spans="1:13" ht="12.75">
      <c r="A73" s="4"/>
      <c r="B73" s="4"/>
      <c r="C73" s="4"/>
      <c r="D73" s="4"/>
      <c r="E73" s="4"/>
      <c r="F73" s="4"/>
      <c r="G73" s="3"/>
      <c r="H73" s="3"/>
      <c r="I73" s="3"/>
      <c r="J73" s="3"/>
      <c r="K73" s="4"/>
      <c r="L73" s="3"/>
      <c r="M73" s="4"/>
    </row>
    <row r="74" spans="1:13" ht="14.25">
      <c r="A74" s="22"/>
      <c r="B74" s="23" t="s">
        <v>279</v>
      </c>
      <c r="C74" s="4"/>
      <c r="D74" s="4"/>
      <c r="E74" s="4"/>
      <c r="F74" s="4"/>
      <c r="G74" s="3"/>
      <c r="H74" s="3"/>
      <c r="I74" s="3"/>
      <c r="J74" s="3"/>
      <c r="K74" s="4"/>
      <c r="L74" s="3"/>
      <c r="M74" s="4"/>
    </row>
    <row r="75" spans="1:13" ht="15">
      <c r="A75" s="24" t="s">
        <v>119</v>
      </c>
      <c r="B75" s="24" t="s">
        <v>120</v>
      </c>
      <c r="C75" s="24" t="s">
        <v>121</v>
      </c>
      <c r="D75" s="24" t="s">
        <v>122</v>
      </c>
      <c r="E75" s="24" t="s">
        <v>123</v>
      </c>
      <c r="F75" s="4"/>
      <c r="G75" s="3"/>
      <c r="H75" s="3"/>
      <c r="I75" s="3"/>
      <c r="J75" s="3"/>
      <c r="K75" s="4"/>
      <c r="L75" s="3"/>
      <c r="M75" s="4"/>
    </row>
    <row r="76" spans="1:13" ht="12.75">
      <c r="A76" s="21" t="s">
        <v>814</v>
      </c>
      <c r="B76" s="4" t="s">
        <v>124</v>
      </c>
      <c r="C76" s="4" t="s">
        <v>49</v>
      </c>
      <c r="D76" s="4" t="s">
        <v>788</v>
      </c>
      <c r="E76" s="25" t="s">
        <v>813</v>
      </c>
      <c r="F76" s="4"/>
      <c r="G76" s="3"/>
      <c r="H76" s="3"/>
      <c r="I76" s="3"/>
      <c r="J76" s="3"/>
      <c r="K76" s="4"/>
      <c r="L76" s="3"/>
      <c r="M76" s="4"/>
    </row>
    <row r="77" spans="1:13" ht="12.75">
      <c r="A77" s="21" t="s">
        <v>812</v>
      </c>
      <c r="B77" s="4" t="s">
        <v>124</v>
      </c>
      <c r="C77" s="4" t="s">
        <v>193</v>
      </c>
      <c r="D77" s="4" t="s">
        <v>796</v>
      </c>
      <c r="E77" s="25" t="s">
        <v>811</v>
      </c>
      <c r="F77" s="4"/>
      <c r="G77" s="3"/>
      <c r="H77" s="3"/>
      <c r="I77" s="3"/>
      <c r="J77" s="3"/>
      <c r="K77" s="4"/>
      <c r="L77" s="3"/>
      <c r="M77" s="4"/>
    </row>
    <row r="78" spans="1:13" ht="12.75">
      <c r="A78" s="4"/>
      <c r="B78" s="4"/>
      <c r="C78" s="4"/>
      <c r="D78" s="4"/>
      <c r="E78" s="4"/>
      <c r="F78" s="4"/>
      <c r="G78" s="3"/>
      <c r="H78" s="3"/>
      <c r="I78" s="3"/>
      <c r="J78" s="3"/>
      <c r="K78" s="4"/>
      <c r="L78" s="3"/>
      <c r="M78" s="4"/>
    </row>
    <row r="79" spans="1:13" ht="14.25">
      <c r="A79" s="22"/>
      <c r="B79" s="23" t="s">
        <v>127</v>
      </c>
      <c r="C79" s="4"/>
      <c r="D79" s="4"/>
      <c r="E79" s="4"/>
      <c r="F79" s="4"/>
      <c r="G79" s="3"/>
      <c r="H79" s="3"/>
      <c r="I79" s="3"/>
      <c r="J79" s="3"/>
      <c r="K79" s="4"/>
      <c r="L79" s="3"/>
      <c r="M79" s="4"/>
    </row>
    <row r="80" spans="1:13" ht="15">
      <c r="A80" s="24" t="s">
        <v>119</v>
      </c>
      <c r="B80" s="24" t="s">
        <v>120</v>
      </c>
      <c r="C80" s="24" t="s">
        <v>121</v>
      </c>
      <c r="D80" s="24" t="s">
        <v>122</v>
      </c>
      <c r="E80" s="24" t="s">
        <v>123</v>
      </c>
      <c r="F80" s="4"/>
      <c r="G80" s="3"/>
      <c r="H80" s="3"/>
      <c r="I80" s="3"/>
      <c r="J80" s="3"/>
      <c r="K80" s="4"/>
      <c r="L80" s="3"/>
      <c r="M80" s="4"/>
    </row>
    <row r="81" spans="1:13" ht="12.75">
      <c r="A81" s="21" t="s">
        <v>810</v>
      </c>
      <c r="B81" s="4" t="s">
        <v>127</v>
      </c>
      <c r="C81" s="4" t="s">
        <v>65</v>
      </c>
      <c r="D81" s="4" t="s">
        <v>50</v>
      </c>
      <c r="E81" s="25" t="s">
        <v>809</v>
      </c>
      <c r="F81" s="4"/>
      <c r="G81" s="3"/>
      <c r="H81" s="3"/>
      <c r="I81" s="3"/>
      <c r="J81" s="3"/>
      <c r="K81" s="4"/>
      <c r="L81" s="3"/>
      <c r="M81" s="4"/>
    </row>
    <row r="82" spans="1:13" ht="12.75">
      <c r="A82" s="21" t="s">
        <v>808</v>
      </c>
      <c r="B82" s="4" t="s">
        <v>127</v>
      </c>
      <c r="C82" s="4" t="s">
        <v>193</v>
      </c>
      <c r="D82" s="4" t="s">
        <v>51</v>
      </c>
      <c r="E82" s="25" t="s">
        <v>807</v>
      </c>
      <c r="F82" s="4"/>
      <c r="G82" s="3"/>
      <c r="H82" s="3"/>
      <c r="I82" s="3"/>
      <c r="J82" s="3"/>
      <c r="K82" s="4"/>
      <c r="L82" s="3"/>
      <c r="M82" s="4"/>
    </row>
    <row r="83" spans="1:13" ht="12.75">
      <c r="A83" s="21" t="s">
        <v>806</v>
      </c>
      <c r="B83" s="4" t="s">
        <v>127</v>
      </c>
      <c r="C83" s="4" t="s">
        <v>65</v>
      </c>
      <c r="D83" s="4" t="s">
        <v>50</v>
      </c>
      <c r="E83" s="25" t="s">
        <v>805</v>
      </c>
      <c r="F83" s="4"/>
      <c r="G83" s="3"/>
      <c r="H83" s="3"/>
      <c r="I83" s="3"/>
      <c r="J83" s="3"/>
      <c r="K83" s="4"/>
      <c r="L83" s="3"/>
      <c r="M83" s="4"/>
    </row>
    <row r="84" spans="1:13" ht="12.75">
      <c r="A84" s="21" t="s">
        <v>498</v>
      </c>
      <c r="B84" s="4" t="s">
        <v>127</v>
      </c>
      <c r="C84" s="4" t="s">
        <v>54</v>
      </c>
      <c r="D84" s="4" t="s">
        <v>67</v>
      </c>
      <c r="E84" s="25" t="s">
        <v>804</v>
      </c>
      <c r="F84" s="4"/>
      <c r="G84" s="3"/>
      <c r="H84" s="3"/>
      <c r="I84" s="3"/>
      <c r="J84" s="3"/>
      <c r="K84" s="4"/>
      <c r="L84" s="3"/>
      <c r="M84" s="4"/>
    </row>
    <row r="85" spans="1:13" ht="12.75">
      <c r="A85" s="21" t="s">
        <v>513</v>
      </c>
      <c r="B85" s="4" t="s">
        <v>127</v>
      </c>
      <c r="C85" s="4" t="s">
        <v>40</v>
      </c>
      <c r="D85" s="4" t="s">
        <v>380</v>
      </c>
      <c r="E85" s="25" t="s">
        <v>803</v>
      </c>
      <c r="F85" s="4"/>
      <c r="G85" s="3"/>
      <c r="H85" s="3"/>
      <c r="I85" s="3"/>
      <c r="J85" s="3"/>
      <c r="K85" s="4"/>
      <c r="L85" s="3"/>
      <c r="M85" s="4"/>
    </row>
    <row r="86" spans="1:13" ht="12.75">
      <c r="A86" s="21" t="s">
        <v>802</v>
      </c>
      <c r="B86" s="4" t="s">
        <v>127</v>
      </c>
      <c r="C86" s="4" t="s">
        <v>49</v>
      </c>
      <c r="D86" s="4" t="s">
        <v>66</v>
      </c>
      <c r="E86" s="25" t="s">
        <v>801</v>
      </c>
      <c r="F86" s="4"/>
      <c r="G86" s="3"/>
      <c r="H86" s="3"/>
      <c r="I86" s="3"/>
      <c r="J86" s="3"/>
      <c r="K86" s="4"/>
      <c r="L86" s="3"/>
      <c r="M86" s="4"/>
    </row>
    <row r="87" spans="1:13" ht="12.75">
      <c r="A87" s="21" t="s">
        <v>800</v>
      </c>
      <c r="B87" s="4" t="s">
        <v>127</v>
      </c>
      <c r="C87" s="4" t="s">
        <v>193</v>
      </c>
      <c r="D87" s="4" t="s">
        <v>796</v>
      </c>
      <c r="E87" s="25" t="s">
        <v>799</v>
      </c>
      <c r="F87" s="4"/>
      <c r="G87" s="3"/>
      <c r="H87" s="3"/>
      <c r="I87" s="3"/>
      <c r="J87" s="3"/>
      <c r="K87" s="4"/>
      <c r="L87" s="3"/>
      <c r="M87" s="4"/>
    </row>
    <row r="88" spans="1:13" ht="12.75">
      <c r="A88" s="21" t="s">
        <v>798</v>
      </c>
      <c r="B88" s="4" t="s">
        <v>127</v>
      </c>
      <c r="C88" s="4" t="s">
        <v>193</v>
      </c>
      <c r="D88" s="4" t="s">
        <v>49</v>
      </c>
      <c r="E88" s="25" t="s">
        <v>797</v>
      </c>
      <c r="F88" s="4"/>
      <c r="G88" s="3"/>
      <c r="H88" s="3"/>
      <c r="I88" s="3"/>
      <c r="J88" s="3"/>
      <c r="K88" s="4"/>
      <c r="L88" s="3"/>
      <c r="M88" s="4"/>
    </row>
    <row r="89" spans="1:13" ht="12.75">
      <c r="A89" s="21" t="s">
        <v>681</v>
      </c>
      <c r="B89" s="4" t="s">
        <v>127</v>
      </c>
      <c r="C89" s="4" t="s">
        <v>40</v>
      </c>
      <c r="D89" s="4" t="s">
        <v>796</v>
      </c>
      <c r="E89" s="25" t="s">
        <v>795</v>
      </c>
      <c r="F89" s="4"/>
      <c r="G89" s="3"/>
      <c r="H89" s="3"/>
      <c r="I89" s="3"/>
      <c r="J89" s="3"/>
      <c r="K89" s="4"/>
      <c r="L89" s="3"/>
      <c r="M89" s="4"/>
    </row>
    <row r="90" spans="1:13" ht="12.75">
      <c r="A90" s="21" t="s">
        <v>617</v>
      </c>
      <c r="B90" s="4" t="s">
        <v>127</v>
      </c>
      <c r="C90" s="4" t="s">
        <v>65</v>
      </c>
      <c r="D90" s="4" t="s">
        <v>788</v>
      </c>
      <c r="E90" s="25" t="s">
        <v>794</v>
      </c>
      <c r="F90" s="4"/>
      <c r="G90" s="3"/>
      <c r="H90" s="3"/>
      <c r="I90" s="3"/>
      <c r="J90" s="3"/>
      <c r="K90" s="4"/>
      <c r="L90" s="3"/>
      <c r="M90" s="4"/>
    </row>
    <row r="91" spans="1:13" ht="12.75">
      <c r="A91" s="21" t="s">
        <v>793</v>
      </c>
      <c r="B91" s="4" t="s">
        <v>127</v>
      </c>
      <c r="C91" s="4" t="s">
        <v>193</v>
      </c>
      <c r="D91" s="4" t="s">
        <v>39</v>
      </c>
      <c r="E91" s="25" t="s">
        <v>792</v>
      </c>
      <c r="F91" s="4"/>
      <c r="G91" s="3"/>
      <c r="H91" s="3"/>
      <c r="I91" s="3"/>
      <c r="J91" s="3"/>
      <c r="K91" s="4"/>
      <c r="L91" s="3"/>
      <c r="M91" s="4"/>
    </row>
    <row r="92" spans="1:13" ht="12.75">
      <c r="A92" s="21" t="s">
        <v>791</v>
      </c>
      <c r="B92" s="4" t="s">
        <v>127</v>
      </c>
      <c r="C92" s="4" t="s">
        <v>128</v>
      </c>
      <c r="D92" s="4" t="s">
        <v>385</v>
      </c>
      <c r="E92" s="25" t="s">
        <v>790</v>
      </c>
      <c r="F92" s="4"/>
      <c r="G92" s="3"/>
      <c r="H92" s="3"/>
      <c r="I92" s="3"/>
      <c r="J92" s="3"/>
      <c r="K92" s="4"/>
      <c r="L92" s="3"/>
      <c r="M92" s="4"/>
    </row>
    <row r="93" spans="1:13" ht="12.75">
      <c r="A93" s="21" t="s">
        <v>789</v>
      </c>
      <c r="B93" s="4" t="s">
        <v>127</v>
      </c>
      <c r="C93" s="4" t="s">
        <v>37</v>
      </c>
      <c r="D93" s="4" t="s">
        <v>788</v>
      </c>
      <c r="E93" s="25" t="s">
        <v>787</v>
      </c>
      <c r="F93" s="4"/>
      <c r="G93" s="3"/>
      <c r="H93" s="3"/>
      <c r="I93" s="3"/>
      <c r="J93" s="3"/>
      <c r="K93" s="4"/>
      <c r="L93" s="3"/>
      <c r="M93" s="4"/>
    </row>
    <row r="94" spans="1:13" ht="12.75">
      <c r="A94" s="4"/>
      <c r="B94" s="4"/>
      <c r="C94" s="4"/>
      <c r="D94" s="4"/>
      <c r="E94" s="4"/>
      <c r="F94" s="4"/>
      <c r="G94" s="3"/>
      <c r="H94" s="3"/>
      <c r="I94" s="3"/>
      <c r="J94" s="3"/>
      <c r="K94" s="4"/>
      <c r="L94" s="3"/>
      <c r="M94" s="4"/>
    </row>
    <row r="95" spans="1:13" ht="14.25">
      <c r="A95" s="22"/>
      <c r="B95" s="23" t="s">
        <v>133</v>
      </c>
      <c r="C95" s="4"/>
      <c r="D95" s="4"/>
      <c r="E95" s="4"/>
      <c r="F95" s="4"/>
      <c r="G95" s="3"/>
      <c r="H95" s="3"/>
      <c r="I95" s="3"/>
      <c r="J95" s="3"/>
      <c r="K95" s="4"/>
      <c r="L95" s="3"/>
      <c r="M95" s="4"/>
    </row>
    <row r="96" spans="1:13" ht="15">
      <c r="A96" s="24" t="s">
        <v>119</v>
      </c>
      <c r="B96" s="24" t="s">
        <v>120</v>
      </c>
      <c r="C96" s="24" t="s">
        <v>121</v>
      </c>
      <c r="D96" s="24" t="s">
        <v>122</v>
      </c>
      <c r="E96" s="24" t="s">
        <v>123</v>
      </c>
      <c r="F96" s="4"/>
      <c r="G96" s="3"/>
      <c r="H96" s="3"/>
      <c r="I96" s="3"/>
      <c r="J96" s="3"/>
      <c r="K96" s="4"/>
      <c r="L96" s="3"/>
      <c r="M96" s="4"/>
    </row>
    <row r="97" spans="1:13" ht="12.75">
      <c r="A97" s="21" t="s">
        <v>666</v>
      </c>
      <c r="B97" s="4" t="s">
        <v>149</v>
      </c>
      <c r="C97" s="4" t="s">
        <v>193</v>
      </c>
      <c r="D97" s="4" t="s">
        <v>49</v>
      </c>
      <c r="E97" s="25" t="s">
        <v>786</v>
      </c>
      <c r="F97" s="4"/>
      <c r="G97" s="3"/>
      <c r="H97" s="3"/>
      <c r="I97" s="3"/>
      <c r="J97" s="3"/>
      <c r="K97" s="4"/>
      <c r="L97" s="3"/>
      <c r="M97" s="4"/>
    </row>
    <row r="98" spans="1:13" ht="12.75">
      <c r="A98" s="21" t="s">
        <v>672</v>
      </c>
      <c r="B98" s="4" t="s">
        <v>149</v>
      </c>
      <c r="C98" s="4" t="s">
        <v>37</v>
      </c>
      <c r="D98" s="4" t="s">
        <v>372</v>
      </c>
      <c r="E98" s="25" t="s">
        <v>785</v>
      </c>
      <c r="F98" s="4"/>
      <c r="G98" s="3"/>
      <c r="H98" s="3"/>
      <c r="I98" s="3"/>
      <c r="J98" s="3"/>
      <c r="K98" s="4"/>
      <c r="L98" s="3"/>
      <c r="M98" s="4"/>
    </row>
    <row r="99" spans="1:13" ht="12.75">
      <c r="A99" s="21" t="s">
        <v>784</v>
      </c>
      <c r="B99" s="4" t="s">
        <v>134</v>
      </c>
      <c r="C99" s="4" t="s">
        <v>193</v>
      </c>
      <c r="D99" s="4" t="s">
        <v>39</v>
      </c>
      <c r="E99" s="25" t="s">
        <v>783</v>
      </c>
      <c r="F99" s="4"/>
      <c r="G99" s="3"/>
      <c r="H99" s="3"/>
      <c r="I99" s="3"/>
      <c r="J99" s="3"/>
      <c r="K99" s="4"/>
      <c r="L99" s="3"/>
      <c r="M99" s="4"/>
    </row>
    <row r="100" spans="1:13" ht="12.75">
      <c r="A100" s="21" t="s">
        <v>782</v>
      </c>
      <c r="B100" s="4" t="s">
        <v>134</v>
      </c>
      <c r="C100" s="4" t="s">
        <v>40</v>
      </c>
      <c r="D100" s="4" t="s">
        <v>39</v>
      </c>
      <c r="E100" s="25" t="s">
        <v>781</v>
      </c>
      <c r="F100" s="4"/>
      <c r="G100" s="3"/>
      <c r="H100" s="3"/>
      <c r="I100" s="3"/>
      <c r="J100" s="3"/>
      <c r="K100" s="4"/>
      <c r="L100" s="3"/>
      <c r="M100" s="4"/>
    </row>
    <row r="101" spans="1:13" ht="12.75">
      <c r="A101" s="4"/>
      <c r="B101" s="4"/>
      <c r="C101" s="4"/>
      <c r="D101" s="4"/>
      <c r="E101" s="4"/>
      <c r="F101" s="4"/>
      <c r="G101" s="3"/>
      <c r="H101" s="3"/>
      <c r="I101" s="3"/>
      <c r="J101" s="3"/>
      <c r="K101" s="4"/>
      <c r="L101" s="3"/>
      <c r="M101" s="4"/>
    </row>
    <row r="102" spans="1:13" ht="12.75">
      <c r="A102" s="4"/>
      <c r="B102" s="4"/>
      <c r="C102" s="4"/>
      <c r="D102" s="4"/>
      <c r="E102" s="4"/>
      <c r="F102" s="4"/>
      <c r="G102" s="3"/>
      <c r="H102" s="3"/>
      <c r="I102" s="3"/>
      <c r="J102" s="3"/>
      <c r="K102" s="4"/>
      <c r="L102" s="3"/>
      <c r="M102" s="4"/>
    </row>
    <row r="103" spans="1:13" ht="12.75">
      <c r="A103" s="4"/>
      <c r="B103" s="4"/>
      <c r="C103" s="4"/>
      <c r="D103" s="4"/>
      <c r="E103" s="4"/>
      <c r="F103" s="4"/>
      <c r="G103" s="3"/>
      <c r="H103" s="3"/>
      <c r="I103" s="3"/>
      <c r="J103" s="3"/>
      <c r="K103" s="4"/>
      <c r="L103" s="3"/>
      <c r="M103" s="4"/>
    </row>
    <row r="104" spans="1:13" ht="12.75">
      <c r="A104" s="4"/>
      <c r="B104" s="4"/>
      <c r="C104" s="4"/>
      <c r="D104" s="4"/>
      <c r="E104" s="4"/>
      <c r="F104" s="4"/>
      <c r="G104" s="3"/>
      <c r="H104" s="3"/>
      <c r="I104" s="3"/>
      <c r="J104" s="3"/>
      <c r="K104" s="4"/>
      <c r="L104" s="3"/>
      <c r="M104" s="4"/>
    </row>
    <row r="105" spans="1:13" ht="18">
      <c r="A105" s="19" t="s">
        <v>658</v>
      </c>
      <c r="B105" s="19"/>
      <c r="C105" s="4"/>
      <c r="D105" s="4"/>
      <c r="E105" s="4"/>
      <c r="F105" s="4"/>
      <c r="G105" s="3"/>
      <c r="H105" s="3"/>
      <c r="I105" s="3"/>
      <c r="J105" s="3"/>
      <c r="K105" s="4"/>
      <c r="L105" s="3"/>
      <c r="M105" s="4"/>
    </row>
    <row r="106" spans="1:13" ht="15">
      <c r="A106" s="24" t="s">
        <v>657</v>
      </c>
      <c r="B106" s="24" t="s">
        <v>656</v>
      </c>
      <c r="C106" s="24" t="s">
        <v>655</v>
      </c>
      <c r="D106" s="4"/>
      <c r="E106" s="4"/>
      <c r="F106" s="4"/>
      <c r="G106" s="3"/>
      <c r="H106" s="3"/>
      <c r="I106" s="3"/>
      <c r="J106" s="3"/>
      <c r="K106" s="4"/>
      <c r="L106" s="3"/>
      <c r="M106" s="4"/>
    </row>
    <row r="107" spans="1:13" ht="12.75">
      <c r="A107" s="4" t="s">
        <v>19</v>
      </c>
      <c r="B107" s="4" t="s">
        <v>780</v>
      </c>
      <c r="C107" s="4" t="s">
        <v>779</v>
      </c>
      <c r="D107" s="4"/>
      <c r="E107" s="4"/>
      <c r="F107" s="4"/>
      <c r="G107" s="3"/>
      <c r="H107" s="3"/>
      <c r="I107" s="3"/>
      <c r="J107" s="3"/>
      <c r="K107" s="4"/>
      <c r="L107" s="3"/>
      <c r="M107" s="4"/>
    </row>
    <row r="108" spans="1:13" ht="12.75">
      <c r="A108" s="4" t="s">
        <v>93</v>
      </c>
      <c r="B108" s="4" t="s">
        <v>778</v>
      </c>
      <c r="C108" s="4" t="s">
        <v>777</v>
      </c>
      <c r="D108" s="4"/>
      <c r="E108" s="4"/>
      <c r="F108" s="4"/>
      <c r="G108" s="3"/>
      <c r="H108" s="3"/>
      <c r="I108" s="3"/>
      <c r="J108" s="3"/>
      <c r="K108" s="4"/>
      <c r="L108" s="3"/>
      <c r="M108" s="4"/>
    </row>
    <row r="109" spans="1:13" ht="12.75">
      <c r="A109" s="4" t="s">
        <v>776</v>
      </c>
      <c r="B109" s="4" t="s">
        <v>775</v>
      </c>
      <c r="C109" s="4" t="s">
        <v>774</v>
      </c>
      <c r="D109" s="4"/>
      <c r="E109" s="4"/>
      <c r="F109" s="4"/>
      <c r="G109" s="3"/>
      <c r="H109" s="3"/>
      <c r="I109" s="3"/>
      <c r="J109" s="3"/>
      <c r="K109" s="4"/>
      <c r="L109" s="3"/>
      <c r="M109" s="4"/>
    </row>
    <row r="110" spans="1:13" ht="12.75">
      <c r="A110" s="4" t="s">
        <v>589</v>
      </c>
      <c r="B110" s="4" t="s">
        <v>773</v>
      </c>
      <c r="C110" s="4" t="s">
        <v>772</v>
      </c>
      <c r="D110" s="4"/>
      <c r="E110" s="4"/>
      <c r="F110" s="4"/>
      <c r="G110" s="3"/>
      <c r="H110" s="3"/>
      <c r="I110" s="3"/>
      <c r="J110" s="3"/>
      <c r="K110" s="4"/>
      <c r="L110" s="3"/>
      <c r="M110" s="4"/>
    </row>
    <row r="111" spans="1:13" ht="12.75">
      <c r="A111" s="4" t="s">
        <v>47</v>
      </c>
      <c r="B111" s="4" t="s">
        <v>771</v>
      </c>
      <c r="C111" s="4" t="s">
        <v>770</v>
      </c>
      <c r="D111" s="4"/>
      <c r="E111" s="4"/>
      <c r="F111" s="4"/>
      <c r="G111" s="3"/>
      <c r="H111" s="3"/>
      <c r="I111" s="3"/>
      <c r="J111" s="3"/>
      <c r="K111" s="4"/>
      <c r="L111" s="3"/>
      <c r="M111" s="4"/>
    </row>
  </sheetData>
  <sheetProtection/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7:L27"/>
    <mergeCell ref="A36:L36"/>
    <mergeCell ref="A42:L42"/>
    <mergeCell ref="A46:L46"/>
    <mergeCell ref="M3:M4"/>
    <mergeCell ref="A5:L5"/>
    <mergeCell ref="A8:L8"/>
    <mergeCell ref="A11:L11"/>
    <mergeCell ref="A15:L15"/>
    <mergeCell ref="A20:L2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F11" sqref="F11:F15"/>
    </sheetView>
  </sheetViews>
  <sheetFormatPr defaultColWidth="9.00390625" defaultRowHeight="12.75"/>
  <cols>
    <col min="1" max="1" width="28.25390625" style="0" bestFit="1" customWidth="1"/>
    <col min="2" max="2" width="28.37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0.25390625" style="0" bestFit="1" customWidth="1"/>
    <col min="7" max="14" width="4.625" style="0" bestFit="1" customWidth="1"/>
    <col min="15" max="15" width="7.875" style="0" bestFit="1" customWidth="1"/>
    <col min="16" max="16" width="7.625" style="0" bestFit="1" customWidth="1"/>
    <col min="17" max="17" width="8.875" style="0" bestFit="1" customWidth="1"/>
  </cols>
  <sheetData>
    <row r="1" spans="1:17" ht="12.75">
      <c r="A1" s="78" t="s">
        <v>902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6"/>
    </row>
    <row r="2" spans="1:17" ht="133.5" customHeight="1" thickBot="1">
      <c r="A2" s="75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3"/>
    </row>
    <row r="3" spans="1:17" ht="15">
      <c r="A3" s="47" t="s">
        <v>0</v>
      </c>
      <c r="B3" s="49" t="s">
        <v>6</v>
      </c>
      <c r="C3" s="49" t="s">
        <v>901</v>
      </c>
      <c r="D3" s="39" t="s">
        <v>10</v>
      </c>
      <c r="E3" s="39" t="s">
        <v>4</v>
      </c>
      <c r="F3" s="39" t="s">
        <v>8</v>
      </c>
      <c r="G3" s="39" t="s">
        <v>900</v>
      </c>
      <c r="H3" s="39"/>
      <c r="I3" s="39"/>
      <c r="J3" s="39"/>
      <c r="K3" s="39" t="s">
        <v>892</v>
      </c>
      <c r="L3" s="39"/>
      <c r="M3" s="39"/>
      <c r="N3" s="39"/>
      <c r="O3" s="39" t="s">
        <v>1</v>
      </c>
      <c r="P3" s="39" t="s">
        <v>3</v>
      </c>
      <c r="Q3" s="50" t="s">
        <v>2</v>
      </c>
    </row>
    <row r="4" spans="1:17" ht="15" thickBot="1">
      <c r="A4" s="48"/>
      <c r="B4" s="40"/>
      <c r="C4" s="40"/>
      <c r="D4" s="40"/>
      <c r="E4" s="40"/>
      <c r="F4" s="40"/>
      <c r="G4" s="72">
        <v>1</v>
      </c>
      <c r="H4" s="72">
        <v>2</v>
      </c>
      <c r="I4" s="72">
        <v>3</v>
      </c>
      <c r="J4" s="72" t="s">
        <v>5</v>
      </c>
      <c r="K4" s="72">
        <v>1</v>
      </c>
      <c r="L4" s="72">
        <v>2</v>
      </c>
      <c r="M4" s="72">
        <v>3</v>
      </c>
      <c r="N4" s="72" t="s">
        <v>5</v>
      </c>
      <c r="O4" s="40"/>
      <c r="P4" s="40"/>
      <c r="Q4" s="51"/>
    </row>
    <row r="5" spans="1:17" ht="15">
      <c r="A5" s="38" t="s">
        <v>79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3"/>
    </row>
    <row r="6" spans="1:17" ht="12.75">
      <c r="A6" s="71" t="s">
        <v>899</v>
      </c>
      <c r="B6" s="70" t="s">
        <v>898</v>
      </c>
      <c r="C6" s="70" t="s">
        <v>897</v>
      </c>
      <c r="D6" s="70" t="str">
        <f>"0,6690"</f>
        <v>0,6690</v>
      </c>
      <c r="E6" s="28" t="s">
        <v>776</v>
      </c>
      <c r="F6" s="28" t="s">
        <v>20</v>
      </c>
      <c r="G6" s="70" t="s">
        <v>66</v>
      </c>
      <c r="H6" s="70" t="s">
        <v>39</v>
      </c>
      <c r="I6" s="8" t="s">
        <v>372</v>
      </c>
      <c r="J6" s="8"/>
      <c r="K6" s="70" t="s">
        <v>66</v>
      </c>
      <c r="L6" s="70" t="s">
        <v>39</v>
      </c>
      <c r="M6" s="70" t="s">
        <v>372</v>
      </c>
      <c r="N6" s="8" t="s">
        <v>49</v>
      </c>
      <c r="O6" s="71" t="str">
        <f>"112,5"</f>
        <v>112,5</v>
      </c>
      <c r="P6" s="70" t="str">
        <f>"76,0208"</f>
        <v>76,0208</v>
      </c>
      <c r="Q6" s="28" t="s">
        <v>28</v>
      </c>
    </row>
    <row r="7" spans="1:17" ht="12.75">
      <c r="A7" s="25"/>
      <c r="B7" s="63"/>
      <c r="C7" s="63"/>
      <c r="D7" s="63"/>
      <c r="E7" s="33"/>
      <c r="F7" s="33"/>
      <c r="G7" s="63"/>
      <c r="H7" s="63"/>
      <c r="I7" s="63"/>
      <c r="J7" s="63"/>
      <c r="K7" s="63"/>
      <c r="L7" s="63"/>
      <c r="M7" s="63"/>
      <c r="N7" s="63"/>
      <c r="O7" s="25"/>
      <c r="P7" s="63"/>
      <c r="Q7" s="33"/>
    </row>
    <row r="8" spans="1:17" ht="15">
      <c r="A8" s="37" t="s">
        <v>261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3"/>
    </row>
    <row r="9" spans="1:17" ht="12.75">
      <c r="A9" s="71" t="s">
        <v>762</v>
      </c>
      <c r="B9" s="70" t="s">
        <v>761</v>
      </c>
      <c r="C9" s="70" t="s">
        <v>760</v>
      </c>
      <c r="D9" s="70" t="str">
        <f>"0,5916"</f>
        <v>0,5916</v>
      </c>
      <c r="E9" s="28" t="s">
        <v>47</v>
      </c>
      <c r="F9" s="28" t="s">
        <v>48</v>
      </c>
      <c r="G9" s="70" t="s">
        <v>51</v>
      </c>
      <c r="H9" s="8" t="s">
        <v>380</v>
      </c>
      <c r="I9" s="8"/>
      <c r="J9" s="8"/>
      <c r="K9" s="70" t="s">
        <v>66</v>
      </c>
      <c r="L9" s="70" t="s">
        <v>372</v>
      </c>
      <c r="M9" s="8" t="s">
        <v>49</v>
      </c>
      <c r="N9" s="8"/>
      <c r="O9" s="71" t="str">
        <f>"127,5"</f>
        <v>127,5</v>
      </c>
      <c r="P9" s="70" t="str">
        <f>"75,4290"</f>
        <v>75,4290</v>
      </c>
      <c r="Q9" s="28" t="s">
        <v>28</v>
      </c>
    </row>
    <row r="10" spans="1:17" ht="12.75">
      <c r="A10" s="25"/>
      <c r="B10" s="63"/>
      <c r="C10" s="63"/>
      <c r="D10" s="63"/>
      <c r="E10" s="33"/>
      <c r="F10" s="33"/>
      <c r="G10" s="63"/>
      <c r="H10" s="63"/>
      <c r="I10" s="63"/>
      <c r="J10" s="63"/>
      <c r="K10" s="63"/>
      <c r="L10" s="63"/>
      <c r="M10" s="63"/>
      <c r="N10" s="63"/>
      <c r="O10" s="25"/>
      <c r="P10" s="63"/>
      <c r="Q10" s="33"/>
    </row>
    <row r="11" spans="1:17" ht="15">
      <c r="A11" s="25"/>
      <c r="B11" s="63"/>
      <c r="C11" s="63"/>
      <c r="D11" s="63"/>
      <c r="E11" s="18" t="s">
        <v>112</v>
      </c>
      <c r="F11" s="18" t="s">
        <v>151</v>
      </c>
      <c r="G11" s="63"/>
      <c r="H11" s="63"/>
      <c r="I11" s="63"/>
      <c r="J11" s="63"/>
      <c r="K11" s="63"/>
      <c r="L11" s="63"/>
      <c r="M11" s="63"/>
      <c r="N11" s="63"/>
      <c r="O11" s="25"/>
      <c r="P11" s="63"/>
      <c r="Q11" s="33"/>
    </row>
    <row r="12" spans="1:17" ht="15">
      <c r="A12" s="25"/>
      <c r="B12" s="63"/>
      <c r="C12" s="63"/>
      <c r="D12" s="63"/>
      <c r="E12" s="18" t="s">
        <v>113</v>
      </c>
      <c r="F12" s="18" t="s">
        <v>152</v>
      </c>
      <c r="G12" s="63"/>
      <c r="H12" s="63"/>
      <c r="I12" s="63"/>
      <c r="J12" s="63"/>
      <c r="K12" s="63"/>
      <c r="L12" s="63"/>
      <c r="M12" s="63"/>
      <c r="N12" s="63"/>
      <c r="O12" s="25"/>
      <c r="P12" s="63"/>
      <c r="Q12" s="33"/>
    </row>
    <row r="13" spans="1:17" ht="15">
      <c r="A13" s="25"/>
      <c r="B13" s="63"/>
      <c r="C13" s="63"/>
      <c r="D13" s="63"/>
      <c r="E13" s="18" t="s">
        <v>114</v>
      </c>
      <c r="F13" s="18" t="s">
        <v>153</v>
      </c>
      <c r="G13" s="63"/>
      <c r="H13" s="63"/>
      <c r="I13" s="63"/>
      <c r="J13" s="63"/>
      <c r="K13" s="63"/>
      <c r="L13" s="63"/>
      <c r="M13" s="63"/>
      <c r="N13" s="63"/>
      <c r="O13" s="25"/>
      <c r="P13" s="63"/>
      <c r="Q13" s="33"/>
    </row>
    <row r="14" spans="1:17" ht="15">
      <c r="A14" s="25"/>
      <c r="B14" s="63"/>
      <c r="C14" s="63"/>
      <c r="D14" s="63"/>
      <c r="E14" s="18" t="s">
        <v>115</v>
      </c>
      <c r="F14" s="18" t="s">
        <v>692</v>
      </c>
      <c r="G14" s="63"/>
      <c r="H14" s="63"/>
      <c r="I14" s="63"/>
      <c r="J14" s="63"/>
      <c r="K14" s="63"/>
      <c r="L14" s="63"/>
      <c r="M14" s="63"/>
      <c r="N14" s="63"/>
      <c r="O14" s="25"/>
      <c r="P14" s="63"/>
      <c r="Q14" s="33"/>
    </row>
    <row r="15" spans="1:17" ht="15">
      <c r="A15" s="25"/>
      <c r="B15" s="63"/>
      <c r="C15" s="63"/>
      <c r="D15" s="63"/>
      <c r="E15" s="18" t="s">
        <v>115</v>
      </c>
      <c r="F15" s="18" t="s">
        <v>691</v>
      </c>
      <c r="G15" s="63"/>
      <c r="H15" s="63"/>
      <c r="I15" s="63"/>
      <c r="J15" s="63"/>
      <c r="K15" s="63"/>
      <c r="L15" s="63"/>
      <c r="M15" s="63"/>
      <c r="N15" s="63"/>
      <c r="O15" s="25"/>
      <c r="P15" s="63"/>
      <c r="Q15" s="33"/>
    </row>
    <row r="16" spans="1:17" ht="15">
      <c r="A16" s="25"/>
      <c r="B16" s="63"/>
      <c r="C16" s="63"/>
      <c r="D16" s="63"/>
      <c r="E16" s="18"/>
      <c r="F16" s="33"/>
      <c r="G16" s="63"/>
      <c r="H16" s="63"/>
      <c r="I16" s="63"/>
      <c r="J16" s="63"/>
      <c r="K16" s="63"/>
      <c r="L16" s="63"/>
      <c r="M16" s="63"/>
      <c r="N16" s="63"/>
      <c r="O16" s="25"/>
      <c r="P16" s="63"/>
      <c r="Q16" s="33"/>
    </row>
    <row r="17" spans="1:17" ht="15">
      <c r="A17" s="25"/>
      <c r="B17" s="63"/>
      <c r="C17" s="63"/>
      <c r="D17" s="63"/>
      <c r="E17" s="18"/>
      <c r="F17" s="33"/>
      <c r="G17" s="63"/>
      <c r="H17" s="63"/>
      <c r="I17" s="63"/>
      <c r="J17" s="63"/>
      <c r="K17" s="63"/>
      <c r="L17" s="63"/>
      <c r="M17" s="63"/>
      <c r="N17" s="63"/>
      <c r="O17" s="25"/>
      <c r="P17" s="63"/>
      <c r="Q17" s="33"/>
    </row>
    <row r="18" spans="1:17" ht="12.75">
      <c r="A18" s="25"/>
      <c r="B18" s="63"/>
      <c r="C18" s="63"/>
      <c r="D18" s="63"/>
      <c r="E18" s="33"/>
      <c r="F18" s="33"/>
      <c r="G18" s="63"/>
      <c r="H18" s="63"/>
      <c r="I18" s="63"/>
      <c r="J18" s="63"/>
      <c r="K18" s="63"/>
      <c r="L18" s="63"/>
      <c r="M18" s="63"/>
      <c r="N18" s="63"/>
      <c r="O18" s="25"/>
      <c r="P18" s="63"/>
      <c r="Q18" s="33"/>
    </row>
    <row r="19" spans="1:17" ht="18">
      <c r="A19" s="69" t="s">
        <v>116</v>
      </c>
      <c r="B19" s="68"/>
      <c r="C19" s="63"/>
      <c r="D19" s="63"/>
      <c r="E19" s="33"/>
      <c r="F19" s="33"/>
      <c r="G19" s="63"/>
      <c r="H19" s="63"/>
      <c r="I19" s="63"/>
      <c r="J19" s="63"/>
      <c r="K19" s="63"/>
      <c r="L19" s="63"/>
      <c r="M19" s="63"/>
      <c r="N19" s="63"/>
      <c r="O19" s="25"/>
      <c r="P19" s="63"/>
      <c r="Q19" s="33"/>
    </row>
    <row r="20" spans="1:17" ht="15">
      <c r="A20" s="67" t="s">
        <v>136</v>
      </c>
      <c r="B20" s="35"/>
      <c r="C20" s="63"/>
      <c r="D20" s="63"/>
      <c r="E20" s="33"/>
      <c r="F20" s="33"/>
      <c r="G20" s="63"/>
      <c r="H20" s="63"/>
      <c r="I20" s="63"/>
      <c r="J20" s="63"/>
      <c r="K20" s="63"/>
      <c r="L20" s="63"/>
      <c r="M20" s="63"/>
      <c r="N20" s="63"/>
      <c r="O20" s="25"/>
      <c r="P20" s="63"/>
      <c r="Q20" s="33"/>
    </row>
    <row r="21" spans="1:17" ht="14.25">
      <c r="A21" s="66"/>
      <c r="B21" s="65" t="s">
        <v>279</v>
      </c>
      <c r="C21" s="63"/>
      <c r="D21" s="63"/>
      <c r="E21" s="33"/>
      <c r="F21" s="33"/>
      <c r="G21" s="63"/>
      <c r="H21" s="63"/>
      <c r="I21" s="63"/>
      <c r="J21" s="63"/>
      <c r="K21" s="63"/>
      <c r="L21" s="63"/>
      <c r="M21" s="63"/>
      <c r="N21" s="63"/>
      <c r="O21" s="25"/>
      <c r="P21" s="63"/>
      <c r="Q21" s="33"/>
    </row>
    <row r="22" spans="1:17" ht="15">
      <c r="A22" s="24" t="s">
        <v>119</v>
      </c>
      <c r="B22" s="24" t="s">
        <v>120</v>
      </c>
      <c r="C22" s="24" t="s">
        <v>121</v>
      </c>
      <c r="D22" s="24" t="s">
        <v>122</v>
      </c>
      <c r="E22" s="24" t="s">
        <v>123</v>
      </c>
      <c r="F22" s="33"/>
      <c r="G22" s="63"/>
      <c r="H22" s="63"/>
      <c r="I22" s="63"/>
      <c r="J22" s="63"/>
      <c r="K22" s="63"/>
      <c r="L22" s="63"/>
      <c r="M22" s="63"/>
      <c r="N22" s="63"/>
      <c r="O22" s="25"/>
      <c r="P22" s="63"/>
      <c r="Q22" s="33"/>
    </row>
    <row r="23" spans="1:17" ht="12.75">
      <c r="A23" s="64" t="s">
        <v>896</v>
      </c>
      <c r="B23" s="63" t="s">
        <v>124</v>
      </c>
      <c r="C23" s="63" t="s">
        <v>65</v>
      </c>
      <c r="D23" s="63" t="s">
        <v>413</v>
      </c>
      <c r="E23" s="25" t="s">
        <v>895</v>
      </c>
      <c r="F23" s="33"/>
      <c r="G23" s="63"/>
      <c r="H23" s="63"/>
      <c r="I23" s="63"/>
      <c r="J23" s="63"/>
      <c r="K23" s="63"/>
      <c r="L23" s="63"/>
      <c r="M23" s="63"/>
      <c r="N23" s="63"/>
      <c r="O23" s="25"/>
      <c r="P23" s="63"/>
      <c r="Q23" s="33"/>
    </row>
    <row r="24" spans="1:17" ht="12.75">
      <c r="A24" s="25"/>
      <c r="B24" s="63"/>
      <c r="C24" s="63"/>
      <c r="D24" s="63"/>
      <c r="E24" s="33"/>
      <c r="F24" s="33"/>
      <c r="G24" s="63"/>
      <c r="H24" s="63"/>
      <c r="I24" s="63"/>
      <c r="J24" s="63"/>
      <c r="K24" s="63"/>
      <c r="L24" s="63"/>
      <c r="M24" s="63"/>
      <c r="N24" s="63"/>
      <c r="O24" s="25"/>
      <c r="P24" s="63"/>
      <c r="Q24" s="33"/>
    </row>
    <row r="25" spans="1:17" ht="14.25">
      <c r="A25" s="66"/>
      <c r="B25" s="65" t="s">
        <v>127</v>
      </c>
      <c r="C25" s="63"/>
      <c r="D25" s="63"/>
      <c r="E25" s="33"/>
      <c r="F25" s="33"/>
      <c r="G25" s="63"/>
      <c r="H25" s="63"/>
      <c r="I25" s="63"/>
      <c r="J25" s="63"/>
      <c r="K25" s="63"/>
      <c r="L25" s="63"/>
      <c r="M25" s="63"/>
      <c r="N25" s="63"/>
      <c r="O25" s="25"/>
      <c r="P25" s="63"/>
      <c r="Q25" s="33"/>
    </row>
    <row r="26" spans="1:17" ht="15">
      <c r="A26" s="24" t="s">
        <v>119</v>
      </c>
      <c r="B26" s="24" t="s">
        <v>120</v>
      </c>
      <c r="C26" s="24" t="s">
        <v>121</v>
      </c>
      <c r="D26" s="24" t="s">
        <v>122</v>
      </c>
      <c r="E26" s="24" t="s">
        <v>123</v>
      </c>
      <c r="F26" s="33"/>
      <c r="G26" s="63"/>
      <c r="H26" s="63"/>
      <c r="I26" s="63"/>
      <c r="J26" s="63"/>
      <c r="K26" s="63"/>
      <c r="L26" s="63"/>
      <c r="M26" s="63"/>
      <c r="N26" s="63"/>
      <c r="O26" s="25"/>
      <c r="P26" s="63"/>
      <c r="Q26" s="33"/>
    </row>
    <row r="27" spans="1:17" ht="12.75">
      <c r="A27" s="64" t="s">
        <v>756</v>
      </c>
      <c r="B27" s="63" t="s">
        <v>127</v>
      </c>
      <c r="C27" s="63" t="s">
        <v>40</v>
      </c>
      <c r="D27" s="63" t="s">
        <v>319</v>
      </c>
      <c r="E27" s="25" t="s">
        <v>894</v>
      </c>
      <c r="F27" s="33"/>
      <c r="G27" s="63"/>
      <c r="H27" s="63"/>
      <c r="I27" s="63"/>
      <c r="J27" s="63"/>
      <c r="K27" s="63"/>
      <c r="L27" s="63"/>
      <c r="M27" s="63"/>
      <c r="N27" s="63"/>
      <c r="O27" s="25"/>
      <c r="P27" s="63"/>
      <c r="Q27" s="33"/>
    </row>
  </sheetData>
  <sheetProtection/>
  <mergeCells count="14">
    <mergeCell ref="F3:F4"/>
    <mergeCell ref="G3:J3"/>
    <mergeCell ref="K3:N3"/>
    <mergeCell ref="O3:O4"/>
    <mergeCell ref="P3:P4"/>
    <mergeCell ref="Q3:Q4"/>
    <mergeCell ref="A5:P5"/>
    <mergeCell ref="A8:P8"/>
    <mergeCell ref="A1:Q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F8" sqref="F8:F12"/>
    </sheetView>
  </sheetViews>
  <sheetFormatPr defaultColWidth="9.00390625" defaultRowHeight="12.75"/>
  <cols>
    <col min="5" max="5" width="22.75390625" style="0" bestFit="1" customWidth="1"/>
  </cols>
  <sheetData>
    <row r="1" spans="1:21" ht="84.75" customHeight="1">
      <c r="A1" s="41" t="s">
        <v>156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3.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12</v>
      </c>
      <c r="L3" s="39"/>
      <c r="M3" s="39"/>
      <c r="N3" s="39"/>
      <c r="O3" s="39" t="s">
        <v>13</v>
      </c>
      <c r="P3" s="39"/>
      <c r="Q3" s="39"/>
      <c r="R3" s="39"/>
      <c r="S3" s="39" t="s">
        <v>1</v>
      </c>
      <c r="T3" s="39" t="s">
        <v>3</v>
      </c>
      <c r="U3" s="50" t="s">
        <v>2</v>
      </c>
    </row>
    <row r="4" spans="1:21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0"/>
      <c r="T4" s="40"/>
      <c r="U4" s="51"/>
    </row>
    <row r="5" spans="1:21" ht="1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1" ht="12.75">
      <c r="A6" s="6" t="s">
        <v>157</v>
      </c>
      <c r="B6" s="6" t="s">
        <v>158</v>
      </c>
      <c r="C6" s="6" t="s">
        <v>159</v>
      </c>
      <c r="D6" s="6" t="s">
        <v>160</v>
      </c>
      <c r="E6" s="6" t="s">
        <v>63</v>
      </c>
      <c r="F6" s="6" t="s">
        <v>64</v>
      </c>
      <c r="G6" s="7" t="s">
        <v>161</v>
      </c>
      <c r="H6" s="7" t="s">
        <v>87</v>
      </c>
      <c r="I6" s="7" t="s">
        <v>162</v>
      </c>
      <c r="J6" s="8"/>
      <c r="K6" s="7" t="s">
        <v>51</v>
      </c>
      <c r="L6" s="7" t="s">
        <v>67</v>
      </c>
      <c r="M6" s="8" t="s">
        <v>40</v>
      </c>
      <c r="N6" s="8"/>
      <c r="O6" s="7" t="s">
        <v>161</v>
      </c>
      <c r="P6" s="7" t="s">
        <v>87</v>
      </c>
      <c r="Q6" s="7" t="s">
        <v>162</v>
      </c>
      <c r="R6" s="8"/>
      <c r="S6" s="6" t="s">
        <v>163</v>
      </c>
      <c r="T6" s="7" t="s">
        <v>164</v>
      </c>
      <c r="U6" s="6" t="s">
        <v>28</v>
      </c>
    </row>
    <row r="7" spans="1:21" ht="12.75">
      <c r="A7" s="4"/>
      <c r="B7" s="4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  <c r="U7" s="4"/>
    </row>
    <row r="8" spans="1:21" ht="15">
      <c r="A8" s="4"/>
      <c r="B8" s="4"/>
      <c r="C8" s="4"/>
      <c r="D8" s="4"/>
      <c r="E8" s="18" t="s">
        <v>112</v>
      </c>
      <c r="F8" s="18" t="s">
        <v>151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  <c r="U8" s="4"/>
    </row>
    <row r="9" spans="1:21" ht="15">
      <c r="A9" s="4"/>
      <c r="B9" s="4"/>
      <c r="C9" s="4"/>
      <c r="D9" s="4"/>
      <c r="E9" s="18" t="s">
        <v>113</v>
      </c>
      <c r="F9" s="18" t="s">
        <v>152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3"/>
      <c r="U9" s="4"/>
    </row>
    <row r="10" spans="1:21" ht="15">
      <c r="A10" s="4"/>
      <c r="B10" s="4"/>
      <c r="C10" s="4"/>
      <c r="D10" s="4"/>
      <c r="E10" s="18" t="s">
        <v>114</v>
      </c>
      <c r="F10" s="18" t="s">
        <v>153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3"/>
      <c r="U10" s="4"/>
    </row>
    <row r="11" spans="1:21" ht="15">
      <c r="A11" s="4"/>
      <c r="B11" s="4"/>
      <c r="C11" s="4"/>
      <c r="D11" s="4"/>
      <c r="E11" s="18" t="s">
        <v>115</v>
      </c>
      <c r="F11" s="18" t="s">
        <v>154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4"/>
    </row>
    <row r="12" spans="1:21" ht="15">
      <c r="A12" s="4"/>
      <c r="B12" s="4"/>
      <c r="C12" s="4"/>
      <c r="D12" s="4"/>
      <c r="E12" s="18" t="s">
        <v>115</v>
      </c>
      <c r="F12" s="18" t="s">
        <v>155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3"/>
      <c r="U12" s="4"/>
    </row>
    <row r="13" spans="1:21" ht="15">
      <c r="A13" s="4"/>
      <c r="B13" s="4"/>
      <c r="C13" s="4"/>
      <c r="D13" s="4"/>
      <c r="E13" s="18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3"/>
      <c r="U13" s="4"/>
    </row>
    <row r="14" spans="1:21" ht="15">
      <c r="A14" s="4"/>
      <c r="B14" s="4"/>
      <c r="C14" s="4"/>
      <c r="D14" s="4"/>
      <c r="E14" s="18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3"/>
      <c r="U14" s="4"/>
    </row>
    <row r="15" spans="1:21" ht="12.75">
      <c r="A15" s="4"/>
      <c r="B15" s="4"/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3"/>
      <c r="U15" s="4"/>
    </row>
    <row r="16" spans="1:21" ht="18">
      <c r="A16" s="19" t="s">
        <v>116</v>
      </c>
      <c r="B16" s="19"/>
      <c r="C16" s="4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3"/>
      <c r="U16" s="4"/>
    </row>
    <row r="17" spans="1:21" ht="15">
      <c r="A17" s="20" t="s">
        <v>117</v>
      </c>
      <c r="B17" s="20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3"/>
      <c r="U17" s="4"/>
    </row>
    <row r="18" spans="1:21" ht="14.25">
      <c r="A18" s="26"/>
      <c r="B18" s="23" t="s">
        <v>127</v>
      </c>
      <c r="C18" s="4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3"/>
      <c r="U18" s="4"/>
    </row>
    <row r="19" spans="1:21" ht="15">
      <c r="A19" s="24" t="s">
        <v>119</v>
      </c>
      <c r="B19" s="24" t="s">
        <v>120</v>
      </c>
      <c r="C19" s="24" t="s">
        <v>121</v>
      </c>
      <c r="D19" s="24" t="s">
        <v>122</v>
      </c>
      <c r="E19" s="24" t="s">
        <v>123</v>
      </c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  <c r="T19" s="3"/>
      <c r="U19" s="4"/>
    </row>
    <row r="20" spans="1:21" ht="12.75">
      <c r="A20" s="27" t="s">
        <v>165</v>
      </c>
      <c r="B20" s="4" t="s">
        <v>127</v>
      </c>
      <c r="C20" s="4" t="s">
        <v>49</v>
      </c>
      <c r="D20" s="4" t="s">
        <v>166</v>
      </c>
      <c r="E20" s="25" t="s">
        <v>167</v>
      </c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  <c r="T20" s="3"/>
      <c r="U20" s="4"/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28.25390625" style="0" bestFit="1" customWidth="1"/>
    <col min="2" max="2" width="28.62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3.625" style="0" bestFit="1" customWidth="1"/>
    <col min="7" max="14" width="4.625" style="0" bestFit="1" customWidth="1"/>
    <col min="15" max="15" width="7.875" style="0" bestFit="1" customWidth="1"/>
    <col min="16" max="16" width="7.625" style="0" bestFit="1" customWidth="1"/>
    <col min="17" max="17" width="8.875" style="0" bestFit="1" customWidth="1"/>
  </cols>
  <sheetData>
    <row r="1" spans="1:17" ht="12.75">
      <c r="A1" s="78" t="s">
        <v>928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6"/>
    </row>
    <row r="2" spans="1:17" ht="120" customHeight="1" thickBot="1">
      <c r="A2" s="75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3"/>
    </row>
    <row r="3" spans="1:17" ht="15">
      <c r="A3" s="47" t="s">
        <v>0</v>
      </c>
      <c r="B3" s="49" t="s">
        <v>6</v>
      </c>
      <c r="C3" s="49" t="s">
        <v>901</v>
      </c>
      <c r="D3" s="39" t="s">
        <v>10</v>
      </c>
      <c r="E3" s="39" t="s">
        <v>4</v>
      </c>
      <c r="F3" s="39" t="s">
        <v>8</v>
      </c>
      <c r="G3" s="39" t="s">
        <v>900</v>
      </c>
      <c r="H3" s="39"/>
      <c r="I3" s="39"/>
      <c r="J3" s="39"/>
      <c r="K3" s="39" t="s">
        <v>892</v>
      </c>
      <c r="L3" s="39"/>
      <c r="M3" s="39"/>
      <c r="N3" s="39"/>
      <c r="O3" s="39" t="s">
        <v>1</v>
      </c>
      <c r="P3" s="39" t="s">
        <v>3</v>
      </c>
      <c r="Q3" s="50" t="s">
        <v>2</v>
      </c>
    </row>
    <row r="4" spans="1:17" ht="15" thickBot="1">
      <c r="A4" s="48"/>
      <c r="B4" s="40"/>
      <c r="C4" s="40"/>
      <c r="D4" s="40"/>
      <c r="E4" s="40"/>
      <c r="F4" s="40"/>
      <c r="G4" s="72">
        <v>1</v>
      </c>
      <c r="H4" s="72">
        <v>2</v>
      </c>
      <c r="I4" s="72">
        <v>3</v>
      </c>
      <c r="J4" s="72" t="s">
        <v>5</v>
      </c>
      <c r="K4" s="72">
        <v>1</v>
      </c>
      <c r="L4" s="72">
        <v>2</v>
      </c>
      <c r="M4" s="72">
        <v>3</v>
      </c>
      <c r="N4" s="72" t="s">
        <v>5</v>
      </c>
      <c r="O4" s="40"/>
      <c r="P4" s="40"/>
      <c r="Q4" s="51"/>
    </row>
    <row r="5" spans="1:17" ht="15">
      <c r="A5" s="38" t="s">
        <v>239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3"/>
    </row>
    <row r="6" spans="1:17" ht="12.75">
      <c r="A6" s="71" t="s">
        <v>889</v>
      </c>
      <c r="B6" s="70" t="s">
        <v>888</v>
      </c>
      <c r="C6" s="70" t="s">
        <v>887</v>
      </c>
      <c r="D6" s="70" t="str">
        <f>"0,8800"</f>
        <v>0,8800</v>
      </c>
      <c r="E6" s="28" t="s">
        <v>93</v>
      </c>
      <c r="F6" s="28" t="s">
        <v>94</v>
      </c>
      <c r="G6" s="70" t="s">
        <v>827</v>
      </c>
      <c r="H6" s="70" t="s">
        <v>708</v>
      </c>
      <c r="I6" s="70" t="s">
        <v>819</v>
      </c>
      <c r="J6" s="8"/>
      <c r="K6" s="70" t="s">
        <v>25</v>
      </c>
      <c r="L6" s="70" t="s">
        <v>708</v>
      </c>
      <c r="M6" s="70" t="s">
        <v>819</v>
      </c>
      <c r="N6" s="8"/>
      <c r="O6" s="71" t="str">
        <f>"75,0"</f>
        <v>75,0</v>
      </c>
      <c r="P6" s="70" t="str">
        <f>"77,8800"</f>
        <v>77,8800</v>
      </c>
      <c r="Q6" s="28" t="s">
        <v>28</v>
      </c>
    </row>
    <row r="7" spans="1:17" ht="12.75">
      <c r="A7" s="25"/>
      <c r="B7" s="63"/>
      <c r="C7" s="63"/>
      <c r="D7" s="63"/>
      <c r="E7" s="33"/>
      <c r="F7" s="33"/>
      <c r="G7" s="63"/>
      <c r="H7" s="63"/>
      <c r="I7" s="63"/>
      <c r="J7" s="63"/>
      <c r="K7" s="63"/>
      <c r="L7" s="63"/>
      <c r="M7" s="63"/>
      <c r="N7" s="63"/>
      <c r="O7" s="25"/>
      <c r="P7" s="63"/>
      <c r="Q7" s="33"/>
    </row>
    <row r="8" spans="1:17" ht="15">
      <c r="A8" s="37" t="s">
        <v>29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3"/>
    </row>
    <row r="9" spans="1:17" ht="12.75">
      <c r="A9" s="71" t="s">
        <v>927</v>
      </c>
      <c r="B9" s="70" t="s">
        <v>877</v>
      </c>
      <c r="C9" s="70" t="s">
        <v>876</v>
      </c>
      <c r="D9" s="70" t="str">
        <f>"0,7273"</f>
        <v>0,7273</v>
      </c>
      <c r="E9" s="28" t="s">
        <v>19</v>
      </c>
      <c r="F9" s="28" t="s">
        <v>48</v>
      </c>
      <c r="G9" s="8" t="s">
        <v>926</v>
      </c>
      <c r="H9" s="8" t="s">
        <v>926</v>
      </c>
      <c r="I9" s="8" t="s">
        <v>926</v>
      </c>
      <c r="J9" s="8"/>
      <c r="K9" s="8" t="s">
        <v>788</v>
      </c>
      <c r="L9" s="8"/>
      <c r="M9" s="8"/>
      <c r="N9" s="8"/>
      <c r="O9" s="71" t="str">
        <f>"0.00"</f>
        <v>0.00</v>
      </c>
      <c r="P9" s="70" t="str">
        <f>"0,0000"</f>
        <v>0,0000</v>
      </c>
      <c r="Q9" s="28" t="s">
        <v>28</v>
      </c>
    </row>
    <row r="10" spans="1:17" ht="12.75">
      <c r="A10" s="25"/>
      <c r="B10" s="63"/>
      <c r="C10" s="63"/>
      <c r="D10" s="63"/>
      <c r="E10" s="33"/>
      <c r="F10" s="33"/>
      <c r="G10" s="63"/>
      <c r="H10" s="63"/>
      <c r="I10" s="63"/>
      <c r="J10" s="63"/>
      <c r="K10" s="63"/>
      <c r="L10" s="63"/>
      <c r="M10" s="63"/>
      <c r="N10" s="63"/>
      <c r="O10" s="25"/>
      <c r="P10" s="63"/>
      <c r="Q10" s="33"/>
    </row>
    <row r="11" spans="1:17" ht="15">
      <c r="A11" s="37" t="s">
        <v>79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3"/>
    </row>
    <row r="12" spans="1:17" ht="12.75">
      <c r="A12" s="87" t="s">
        <v>390</v>
      </c>
      <c r="B12" s="86" t="s">
        <v>391</v>
      </c>
      <c r="C12" s="86" t="s">
        <v>220</v>
      </c>
      <c r="D12" s="86" t="str">
        <f>"0,6723"</f>
        <v>0,6723</v>
      </c>
      <c r="E12" s="85" t="s">
        <v>93</v>
      </c>
      <c r="F12" s="85" t="s">
        <v>94</v>
      </c>
      <c r="G12" s="86" t="s">
        <v>51</v>
      </c>
      <c r="H12" s="86" t="s">
        <v>380</v>
      </c>
      <c r="I12" s="86" t="s">
        <v>65</v>
      </c>
      <c r="J12" s="11"/>
      <c r="K12" s="86" t="s">
        <v>49</v>
      </c>
      <c r="L12" s="86" t="s">
        <v>50</v>
      </c>
      <c r="M12" s="11" t="s">
        <v>51</v>
      </c>
      <c r="N12" s="11"/>
      <c r="O12" s="87" t="str">
        <f>"140,0"</f>
        <v>140,0</v>
      </c>
      <c r="P12" s="86" t="str">
        <f>"99,7693"</f>
        <v>99,7693</v>
      </c>
      <c r="Q12" s="85" t="s">
        <v>28</v>
      </c>
    </row>
    <row r="13" spans="1:17" ht="12.75">
      <c r="A13" s="84" t="s">
        <v>925</v>
      </c>
      <c r="B13" s="83" t="s">
        <v>398</v>
      </c>
      <c r="C13" s="83" t="s">
        <v>399</v>
      </c>
      <c r="D13" s="83" t="str">
        <f>"0,6680"</f>
        <v>0,6680</v>
      </c>
      <c r="E13" s="82" t="s">
        <v>93</v>
      </c>
      <c r="F13" s="82" t="s">
        <v>94</v>
      </c>
      <c r="G13" s="83" t="s">
        <v>372</v>
      </c>
      <c r="H13" s="83" t="s">
        <v>49</v>
      </c>
      <c r="I13" s="14" t="s">
        <v>50</v>
      </c>
      <c r="J13" s="14"/>
      <c r="K13" s="83" t="s">
        <v>788</v>
      </c>
      <c r="L13" s="83" t="s">
        <v>372</v>
      </c>
      <c r="M13" s="14" t="s">
        <v>49</v>
      </c>
      <c r="N13" s="14"/>
      <c r="O13" s="84" t="str">
        <f>"117,5"</f>
        <v>117,5</v>
      </c>
      <c r="P13" s="83" t="str">
        <f>"80,0598"</f>
        <v>80,0598</v>
      </c>
      <c r="Q13" s="82" t="s">
        <v>28</v>
      </c>
    </row>
    <row r="14" spans="1:17" ht="12.75">
      <c r="A14" s="84" t="s">
        <v>865</v>
      </c>
      <c r="B14" s="83" t="s">
        <v>864</v>
      </c>
      <c r="C14" s="83" t="s">
        <v>863</v>
      </c>
      <c r="D14" s="83" t="str">
        <f>"0,6760"</f>
        <v>0,6760</v>
      </c>
      <c r="E14" s="82" t="s">
        <v>93</v>
      </c>
      <c r="F14" s="82" t="s">
        <v>94</v>
      </c>
      <c r="G14" s="83" t="s">
        <v>50</v>
      </c>
      <c r="H14" s="83" t="s">
        <v>51</v>
      </c>
      <c r="I14" s="83" t="s">
        <v>65</v>
      </c>
      <c r="J14" s="14"/>
      <c r="K14" s="83" t="s">
        <v>372</v>
      </c>
      <c r="L14" s="83" t="s">
        <v>796</v>
      </c>
      <c r="M14" s="83" t="s">
        <v>50</v>
      </c>
      <c r="N14" s="14"/>
      <c r="O14" s="84" t="str">
        <f>"140,0"</f>
        <v>140,0</v>
      </c>
      <c r="P14" s="83" t="str">
        <f>"94,6400"</f>
        <v>94,6400</v>
      </c>
      <c r="Q14" s="82" t="s">
        <v>28</v>
      </c>
    </row>
    <row r="15" spans="1:17" ht="12.75">
      <c r="A15" s="81" t="s">
        <v>862</v>
      </c>
      <c r="B15" s="80" t="s">
        <v>861</v>
      </c>
      <c r="C15" s="80" t="s">
        <v>399</v>
      </c>
      <c r="D15" s="80" t="str">
        <f>"0,6680"</f>
        <v>0,6680</v>
      </c>
      <c r="E15" s="79" t="s">
        <v>19</v>
      </c>
      <c r="F15" s="79" t="s">
        <v>860</v>
      </c>
      <c r="G15" s="80" t="s">
        <v>50</v>
      </c>
      <c r="H15" s="80" t="s">
        <v>51</v>
      </c>
      <c r="I15" s="80" t="s">
        <v>65</v>
      </c>
      <c r="J15" s="17"/>
      <c r="K15" s="80" t="s">
        <v>372</v>
      </c>
      <c r="L15" s="80" t="s">
        <v>796</v>
      </c>
      <c r="M15" s="80" t="s">
        <v>50</v>
      </c>
      <c r="N15" s="17"/>
      <c r="O15" s="81" t="str">
        <f>"140,0"</f>
        <v>140,0</v>
      </c>
      <c r="P15" s="80" t="str">
        <f>"93,5200"</f>
        <v>93,5200</v>
      </c>
      <c r="Q15" s="79" t="s">
        <v>28</v>
      </c>
    </row>
    <row r="16" spans="1:17" ht="12.75">
      <c r="A16" s="25"/>
      <c r="B16" s="63"/>
      <c r="C16" s="63"/>
      <c r="D16" s="63"/>
      <c r="E16" s="33"/>
      <c r="F16" s="33"/>
      <c r="G16" s="63"/>
      <c r="H16" s="63"/>
      <c r="I16" s="63"/>
      <c r="J16" s="63"/>
      <c r="K16" s="63"/>
      <c r="L16" s="63"/>
      <c r="M16" s="63"/>
      <c r="N16" s="63"/>
      <c r="O16" s="25"/>
      <c r="P16" s="63"/>
      <c r="Q16" s="33"/>
    </row>
    <row r="17" spans="1:17" ht="15">
      <c r="A17" s="37" t="s">
        <v>169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3"/>
    </row>
    <row r="18" spans="1:17" ht="12.75">
      <c r="A18" s="87" t="s">
        <v>924</v>
      </c>
      <c r="B18" s="86" t="s">
        <v>847</v>
      </c>
      <c r="C18" s="86" t="s">
        <v>185</v>
      </c>
      <c r="D18" s="86" t="str">
        <f>"0,6454"</f>
        <v>0,6454</v>
      </c>
      <c r="E18" s="85" t="s">
        <v>19</v>
      </c>
      <c r="F18" s="85" t="s">
        <v>20</v>
      </c>
      <c r="G18" s="86" t="s">
        <v>380</v>
      </c>
      <c r="H18" s="86" t="s">
        <v>65</v>
      </c>
      <c r="I18" s="86" t="s">
        <v>67</v>
      </c>
      <c r="J18" s="11"/>
      <c r="K18" s="86" t="s">
        <v>788</v>
      </c>
      <c r="L18" s="86" t="s">
        <v>49</v>
      </c>
      <c r="M18" s="11" t="s">
        <v>50</v>
      </c>
      <c r="N18" s="11"/>
      <c r="O18" s="87" t="str">
        <f>"140,0"</f>
        <v>140,0</v>
      </c>
      <c r="P18" s="86" t="str">
        <f>"90,3560"</f>
        <v>90,3560</v>
      </c>
      <c r="Q18" s="85" t="s">
        <v>28</v>
      </c>
    </row>
    <row r="19" spans="1:17" ht="12.75">
      <c r="A19" s="81" t="s">
        <v>839</v>
      </c>
      <c r="B19" s="80" t="s">
        <v>838</v>
      </c>
      <c r="C19" s="80" t="s">
        <v>698</v>
      </c>
      <c r="D19" s="80" t="str">
        <f>"0,6193"</f>
        <v>0,6193</v>
      </c>
      <c r="E19" s="79" t="s">
        <v>93</v>
      </c>
      <c r="F19" s="79" t="s">
        <v>94</v>
      </c>
      <c r="G19" s="80" t="s">
        <v>66</v>
      </c>
      <c r="H19" s="80" t="s">
        <v>39</v>
      </c>
      <c r="I19" s="80" t="s">
        <v>372</v>
      </c>
      <c r="J19" s="17"/>
      <c r="K19" s="80" t="s">
        <v>39</v>
      </c>
      <c r="L19" s="80" t="s">
        <v>372</v>
      </c>
      <c r="M19" s="80" t="s">
        <v>49</v>
      </c>
      <c r="N19" s="17"/>
      <c r="O19" s="81" t="str">
        <f>"117,5"</f>
        <v>117,5</v>
      </c>
      <c r="P19" s="80" t="str">
        <f>"77,7887"</f>
        <v>77,7887</v>
      </c>
      <c r="Q19" s="79" t="s">
        <v>28</v>
      </c>
    </row>
    <row r="20" spans="1:17" ht="12.75">
      <c r="A20" s="25"/>
      <c r="B20" s="63"/>
      <c r="C20" s="63"/>
      <c r="D20" s="63"/>
      <c r="E20" s="33"/>
      <c r="F20" s="33"/>
      <c r="G20" s="63"/>
      <c r="H20" s="63"/>
      <c r="I20" s="63"/>
      <c r="J20" s="63"/>
      <c r="K20" s="63"/>
      <c r="L20" s="63"/>
      <c r="M20" s="63"/>
      <c r="N20" s="63"/>
      <c r="O20" s="25"/>
      <c r="P20" s="63"/>
      <c r="Q20" s="33"/>
    </row>
    <row r="21" spans="1:17" ht="15">
      <c r="A21" s="37" t="s">
        <v>261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3"/>
    </row>
    <row r="22" spans="1:17" ht="12.75">
      <c r="A22" s="87" t="s">
        <v>923</v>
      </c>
      <c r="B22" s="86" t="s">
        <v>422</v>
      </c>
      <c r="C22" s="86" t="s">
        <v>423</v>
      </c>
      <c r="D22" s="86" t="str">
        <f>"0,6000"</f>
        <v>0,6000</v>
      </c>
      <c r="E22" s="85" t="s">
        <v>93</v>
      </c>
      <c r="F22" s="85" t="s">
        <v>94</v>
      </c>
      <c r="G22" s="11" t="s">
        <v>65</v>
      </c>
      <c r="H22" s="86" t="s">
        <v>67</v>
      </c>
      <c r="I22" s="86" t="s">
        <v>68</v>
      </c>
      <c r="J22" s="11"/>
      <c r="K22" s="86" t="s">
        <v>39</v>
      </c>
      <c r="L22" s="11" t="s">
        <v>49</v>
      </c>
      <c r="M22" s="11" t="s">
        <v>50</v>
      </c>
      <c r="N22" s="11"/>
      <c r="O22" s="87" t="str">
        <f>"140,0"</f>
        <v>140,0</v>
      </c>
      <c r="P22" s="86" t="str">
        <f>"84,0000"</f>
        <v>84,0000</v>
      </c>
      <c r="Q22" s="85" t="s">
        <v>28</v>
      </c>
    </row>
    <row r="23" spans="1:17" ht="12.75">
      <c r="A23" s="84" t="s">
        <v>922</v>
      </c>
      <c r="B23" s="83" t="s">
        <v>716</v>
      </c>
      <c r="C23" s="83" t="s">
        <v>715</v>
      </c>
      <c r="D23" s="83" t="str">
        <f>"0,5918"</f>
        <v>0,5918</v>
      </c>
      <c r="E23" s="82" t="s">
        <v>93</v>
      </c>
      <c r="F23" s="82" t="s">
        <v>94</v>
      </c>
      <c r="G23" s="83" t="s">
        <v>50</v>
      </c>
      <c r="H23" s="83" t="s">
        <v>51</v>
      </c>
      <c r="I23" s="14" t="s">
        <v>65</v>
      </c>
      <c r="J23" s="14"/>
      <c r="K23" s="83" t="s">
        <v>49</v>
      </c>
      <c r="L23" s="83" t="s">
        <v>796</v>
      </c>
      <c r="M23" s="14" t="s">
        <v>50</v>
      </c>
      <c r="N23" s="14"/>
      <c r="O23" s="84" t="str">
        <f>"132,5"</f>
        <v>132,5</v>
      </c>
      <c r="P23" s="83" t="str">
        <f>"78,4135"</f>
        <v>78,4135</v>
      </c>
      <c r="Q23" s="82" t="s">
        <v>28</v>
      </c>
    </row>
    <row r="24" spans="1:17" ht="12.75">
      <c r="A24" s="84" t="s">
        <v>921</v>
      </c>
      <c r="B24" s="83" t="s">
        <v>920</v>
      </c>
      <c r="C24" s="83" t="s">
        <v>702</v>
      </c>
      <c r="D24" s="83" t="str">
        <f>"0,5893"</f>
        <v>0,5893</v>
      </c>
      <c r="E24" s="82" t="s">
        <v>93</v>
      </c>
      <c r="F24" s="82" t="s">
        <v>94</v>
      </c>
      <c r="G24" s="83" t="s">
        <v>51</v>
      </c>
      <c r="H24" s="83" t="s">
        <v>65</v>
      </c>
      <c r="I24" s="83" t="s">
        <v>193</v>
      </c>
      <c r="J24" s="14"/>
      <c r="K24" s="83" t="s">
        <v>788</v>
      </c>
      <c r="L24" s="83" t="s">
        <v>372</v>
      </c>
      <c r="M24" s="83" t="s">
        <v>49</v>
      </c>
      <c r="N24" s="14"/>
      <c r="O24" s="84" t="str">
        <f>"142,5"</f>
        <v>142,5</v>
      </c>
      <c r="P24" s="83" t="str">
        <f>"85,4868"</f>
        <v>85,4868</v>
      </c>
      <c r="Q24" s="82" t="s">
        <v>28</v>
      </c>
    </row>
    <row r="25" spans="1:17" ht="12.75">
      <c r="A25" s="81" t="s">
        <v>919</v>
      </c>
      <c r="B25" s="80" t="s">
        <v>833</v>
      </c>
      <c r="C25" s="80" t="s">
        <v>832</v>
      </c>
      <c r="D25" s="80" t="str">
        <f>"0,6072"</f>
        <v>0,6072</v>
      </c>
      <c r="E25" s="79" t="s">
        <v>776</v>
      </c>
      <c r="F25" s="79" t="s">
        <v>20</v>
      </c>
      <c r="G25" s="80" t="s">
        <v>49</v>
      </c>
      <c r="H25" s="80" t="s">
        <v>51</v>
      </c>
      <c r="I25" s="80" t="s">
        <v>380</v>
      </c>
      <c r="J25" s="17"/>
      <c r="K25" s="80" t="s">
        <v>66</v>
      </c>
      <c r="L25" s="80" t="s">
        <v>39</v>
      </c>
      <c r="M25" s="17" t="s">
        <v>372</v>
      </c>
      <c r="N25" s="17"/>
      <c r="O25" s="81" t="str">
        <f>"127,5"</f>
        <v>127,5</v>
      </c>
      <c r="P25" s="80" t="str">
        <f>"79,8114"</f>
        <v>79,8114</v>
      </c>
      <c r="Q25" s="79" t="s">
        <v>28</v>
      </c>
    </row>
    <row r="26" spans="1:17" ht="12.75">
      <c r="A26" s="25"/>
      <c r="B26" s="63"/>
      <c r="C26" s="63"/>
      <c r="D26" s="63"/>
      <c r="E26" s="33"/>
      <c r="F26" s="33"/>
      <c r="G26" s="63"/>
      <c r="H26" s="63"/>
      <c r="I26" s="63"/>
      <c r="J26" s="63"/>
      <c r="K26" s="63"/>
      <c r="L26" s="63"/>
      <c r="M26" s="63"/>
      <c r="N26" s="63"/>
      <c r="O26" s="25"/>
      <c r="P26" s="63"/>
      <c r="Q26" s="33"/>
    </row>
    <row r="27" spans="1:17" ht="15">
      <c r="A27" s="37" t="s">
        <v>100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3"/>
    </row>
    <row r="28" spans="1:17" ht="12.75">
      <c r="A28" s="71" t="s">
        <v>918</v>
      </c>
      <c r="B28" s="70" t="s">
        <v>917</v>
      </c>
      <c r="C28" s="70" t="s">
        <v>916</v>
      </c>
      <c r="D28" s="70" t="str">
        <f>"0,5540"</f>
        <v>0,5540</v>
      </c>
      <c r="E28" s="28" t="s">
        <v>63</v>
      </c>
      <c r="F28" s="28" t="s">
        <v>20</v>
      </c>
      <c r="G28" s="8" t="s">
        <v>67</v>
      </c>
      <c r="H28" s="70" t="s">
        <v>67</v>
      </c>
      <c r="I28" s="70" t="s">
        <v>68</v>
      </c>
      <c r="J28" s="8"/>
      <c r="K28" s="70" t="s">
        <v>66</v>
      </c>
      <c r="L28" s="70" t="s">
        <v>50</v>
      </c>
      <c r="M28" s="70" t="s">
        <v>51</v>
      </c>
      <c r="N28" s="8"/>
      <c r="O28" s="71" t="str">
        <f>"155,0"</f>
        <v>155,0</v>
      </c>
      <c r="P28" s="70" t="str">
        <f>"88,5320"</f>
        <v>88,5320</v>
      </c>
      <c r="Q28" s="28" t="s">
        <v>28</v>
      </c>
    </row>
    <row r="29" spans="1:17" ht="12.75">
      <c r="A29" s="25"/>
      <c r="B29" s="63"/>
      <c r="C29" s="63"/>
      <c r="D29" s="63"/>
      <c r="E29" s="33"/>
      <c r="F29" s="33"/>
      <c r="G29" s="63"/>
      <c r="H29" s="63"/>
      <c r="I29" s="63"/>
      <c r="J29" s="63"/>
      <c r="K29" s="63"/>
      <c r="L29" s="63"/>
      <c r="M29" s="63"/>
      <c r="N29" s="63"/>
      <c r="O29" s="25"/>
      <c r="P29" s="63"/>
      <c r="Q29" s="33"/>
    </row>
    <row r="30" spans="1:17" ht="15">
      <c r="A30" s="25"/>
      <c r="B30" s="63"/>
      <c r="C30" s="63"/>
      <c r="D30" s="63"/>
      <c r="E30" s="18" t="s">
        <v>112</v>
      </c>
      <c r="F30" s="18" t="s">
        <v>151</v>
      </c>
      <c r="G30" s="63"/>
      <c r="H30" s="63"/>
      <c r="I30" s="63"/>
      <c r="J30" s="63"/>
      <c r="K30" s="63"/>
      <c r="L30" s="63"/>
      <c r="M30" s="63"/>
      <c r="N30" s="63"/>
      <c r="O30" s="25"/>
      <c r="P30" s="63"/>
      <c r="Q30" s="33"/>
    </row>
    <row r="31" spans="1:17" ht="15">
      <c r="A31" s="25"/>
      <c r="B31" s="63"/>
      <c r="C31" s="63"/>
      <c r="D31" s="63"/>
      <c r="E31" s="18" t="s">
        <v>113</v>
      </c>
      <c r="F31" s="18" t="s">
        <v>152</v>
      </c>
      <c r="G31" s="63"/>
      <c r="H31" s="63"/>
      <c r="I31" s="63"/>
      <c r="J31" s="63"/>
      <c r="K31" s="63"/>
      <c r="L31" s="63"/>
      <c r="M31" s="63"/>
      <c r="N31" s="63"/>
      <c r="O31" s="25"/>
      <c r="P31" s="63"/>
      <c r="Q31" s="33"/>
    </row>
    <row r="32" spans="1:17" ht="15">
      <c r="A32" s="25"/>
      <c r="B32" s="63"/>
      <c r="C32" s="63"/>
      <c r="D32" s="63"/>
      <c r="E32" s="18" t="s">
        <v>114</v>
      </c>
      <c r="F32" s="18" t="s">
        <v>153</v>
      </c>
      <c r="G32" s="63"/>
      <c r="H32" s="63"/>
      <c r="I32" s="63"/>
      <c r="J32" s="63"/>
      <c r="K32" s="63"/>
      <c r="L32" s="63"/>
      <c r="M32" s="63"/>
      <c r="N32" s="63"/>
      <c r="O32" s="25"/>
      <c r="P32" s="63"/>
      <c r="Q32" s="33"/>
    </row>
    <row r="33" spans="1:17" ht="15">
      <c r="A33" s="25"/>
      <c r="B33" s="63"/>
      <c r="C33" s="63"/>
      <c r="D33" s="63"/>
      <c r="E33" s="18" t="s">
        <v>115</v>
      </c>
      <c r="F33" s="18" t="s">
        <v>692</v>
      </c>
      <c r="G33" s="63"/>
      <c r="H33" s="63"/>
      <c r="I33" s="63"/>
      <c r="J33" s="63"/>
      <c r="K33" s="63"/>
      <c r="L33" s="63"/>
      <c r="M33" s="63"/>
      <c r="N33" s="63"/>
      <c r="O33" s="25"/>
      <c r="P33" s="63"/>
      <c r="Q33" s="33"/>
    </row>
    <row r="34" spans="1:17" ht="15">
      <c r="A34" s="25"/>
      <c r="B34" s="63"/>
      <c r="C34" s="63"/>
      <c r="D34" s="63"/>
      <c r="E34" s="18" t="s">
        <v>115</v>
      </c>
      <c r="F34" s="18" t="s">
        <v>691</v>
      </c>
      <c r="G34" s="63"/>
      <c r="H34" s="63"/>
      <c r="I34" s="63"/>
      <c r="J34" s="63"/>
      <c r="K34" s="63"/>
      <c r="L34" s="63"/>
      <c r="M34" s="63"/>
      <c r="N34" s="63"/>
      <c r="O34" s="25"/>
      <c r="P34" s="63"/>
      <c r="Q34" s="33"/>
    </row>
    <row r="35" spans="1:17" ht="15">
      <c r="A35" s="25"/>
      <c r="B35" s="63"/>
      <c r="C35" s="63"/>
      <c r="D35" s="63"/>
      <c r="E35" s="18"/>
      <c r="F35" s="33"/>
      <c r="G35" s="63"/>
      <c r="H35" s="63"/>
      <c r="I35" s="63"/>
      <c r="J35" s="63"/>
      <c r="K35" s="63"/>
      <c r="L35" s="63"/>
      <c r="M35" s="63"/>
      <c r="N35" s="63"/>
      <c r="O35" s="25"/>
      <c r="P35" s="63"/>
      <c r="Q35" s="33"/>
    </row>
    <row r="36" spans="1:17" ht="15">
      <c r="A36" s="25"/>
      <c r="B36" s="63"/>
      <c r="C36" s="63"/>
      <c r="D36" s="63"/>
      <c r="E36" s="18"/>
      <c r="F36" s="33"/>
      <c r="G36" s="63"/>
      <c r="H36" s="63"/>
      <c r="I36" s="63"/>
      <c r="J36" s="63"/>
      <c r="K36" s="63"/>
      <c r="L36" s="63"/>
      <c r="M36" s="63"/>
      <c r="N36" s="63"/>
      <c r="O36" s="25"/>
      <c r="P36" s="63"/>
      <c r="Q36" s="33"/>
    </row>
    <row r="37" spans="1:17" ht="12.75">
      <c r="A37" s="25"/>
      <c r="B37" s="63"/>
      <c r="C37" s="63"/>
      <c r="D37" s="63"/>
      <c r="E37" s="33"/>
      <c r="F37" s="33"/>
      <c r="G37" s="63"/>
      <c r="H37" s="63"/>
      <c r="I37" s="63"/>
      <c r="J37" s="63"/>
      <c r="K37" s="63"/>
      <c r="L37" s="63"/>
      <c r="M37" s="63"/>
      <c r="N37" s="63"/>
      <c r="O37" s="25"/>
      <c r="P37" s="63"/>
      <c r="Q37" s="33"/>
    </row>
    <row r="38" spans="1:17" ht="18">
      <c r="A38" s="69" t="s">
        <v>116</v>
      </c>
      <c r="B38" s="68"/>
      <c r="C38" s="63"/>
      <c r="D38" s="63"/>
      <c r="E38" s="33"/>
      <c r="F38" s="33"/>
      <c r="G38" s="63"/>
      <c r="H38" s="63"/>
      <c r="I38" s="63"/>
      <c r="J38" s="63"/>
      <c r="K38" s="63"/>
      <c r="L38" s="63"/>
      <c r="M38" s="63"/>
      <c r="N38" s="63"/>
      <c r="O38" s="25"/>
      <c r="P38" s="63"/>
      <c r="Q38" s="33"/>
    </row>
    <row r="39" spans="1:17" ht="15">
      <c r="A39" s="67" t="s">
        <v>136</v>
      </c>
      <c r="B39" s="35"/>
      <c r="C39" s="63"/>
      <c r="D39" s="63"/>
      <c r="E39" s="33"/>
      <c r="F39" s="33"/>
      <c r="G39" s="63"/>
      <c r="H39" s="63"/>
      <c r="I39" s="63"/>
      <c r="J39" s="63"/>
      <c r="K39" s="63"/>
      <c r="L39" s="63"/>
      <c r="M39" s="63"/>
      <c r="N39" s="63"/>
      <c r="O39" s="25"/>
      <c r="P39" s="63"/>
      <c r="Q39" s="33"/>
    </row>
    <row r="40" spans="1:17" ht="14.25">
      <c r="A40" s="66"/>
      <c r="B40" s="65" t="s">
        <v>137</v>
      </c>
      <c r="C40" s="63"/>
      <c r="D40" s="63"/>
      <c r="E40" s="33"/>
      <c r="F40" s="33"/>
      <c r="G40" s="63"/>
      <c r="H40" s="63"/>
      <c r="I40" s="63"/>
      <c r="J40" s="63"/>
      <c r="K40" s="63"/>
      <c r="L40" s="63"/>
      <c r="M40" s="63"/>
      <c r="N40" s="63"/>
      <c r="O40" s="25"/>
      <c r="P40" s="63"/>
      <c r="Q40" s="33"/>
    </row>
    <row r="41" spans="1:17" ht="15">
      <c r="A41" s="24" t="s">
        <v>119</v>
      </c>
      <c r="B41" s="24" t="s">
        <v>120</v>
      </c>
      <c r="C41" s="24" t="s">
        <v>121</v>
      </c>
      <c r="D41" s="24" t="s">
        <v>122</v>
      </c>
      <c r="E41" s="24" t="s">
        <v>123</v>
      </c>
      <c r="F41" s="33"/>
      <c r="G41" s="63"/>
      <c r="H41" s="63"/>
      <c r="I41" s="63"/>
      <c r="J41" s="63"/>
      <c r="K41" s="63"/>
      <c r="L41" s="63"/>
      <c r="M41" s="63"/>
      <c r="N41" s="63"/>
      <c r="O41" s="25"/>
      <c r="P41" s="63"/>
      <c r="Q41" s="33"/>
    </row>
    <row r="42" spans="1:17" ht="12.75">
      <c r="A42" s="64" t="s">
        <v>482</v>
      </c>
      <c r="B42" s="63" t="s">
        <v>350</v>
      </c>
      <c r="C42" s="63" t="s">
        <v>65</v>
      </c>
      <c r="D42" s="63" t="s">
        <v>87</v>
      </c>
      <c r="E42" s="25" t="s">
        <v>915</v>
      </c>
      <c r="F42" s="33"/>
      <c r="G42" s="63"/>
      <c r="H42" s="63"/>
      <c r="I42" s="63"/>
      <c r="J42" s="63"/>
      <c r="K42" s="63"/>
      <c r="L42" s="63"/>
      <c r="M42" s="63"/>
      <c r="N42" s="63"/>
      <c r="O42" s="25"/>
      <c r="P42" s="63"/>
      <c r="Q42" s="33"/>
    </row>
    <row r="43" spans="1:17" ht="12.75">
      <c r="A43" s="64" t="s">
        <v>820</v>
      </c>
      <c r="B43" s="63" t="s">
        <v>138</v>
      </c>
      <c r="C43" s="63" t="s">
        <v>277</v>
      </c>
      <c r="D43" s="63" t="s">
        <v>65</v>
      </c>
      <c r="E43" s="25" t="s">
        <v>914</v>
      </c>
      <c r="F43" s="33"/>
      <c r="G43" s="63"/>
      <c r="H43" s="63"/>
      <c r="I43" s="63"/>
      <c r="J43" s="63"/>
      <c r="K43" s="63"/>
      <c r="L43" s="63"/>
      <c r="M43" s="63"/>
      <c r="N43" s="63"/>
      <c r="O43" s="25"/>
      <c r="P43" s="63"/>
      <c r="Q43" s="33"/>
    </row>
    <row r="44" spans="1:17" ht="12.75">
      <c r="A44" s="25"/>
      <c r="B44" s="63"/>
      <c r="C44" s="63"/>
      <c r="D44" s="63"/>
      <c r="E44" s="33"/>
      <c r="F44" s="33"/>
      <c r="G44" s="63"/>
      <c r="H44" s="63"/>
      <c r="I44" s="63"/>
      <c r="J44" s="63"/>
      <c r="K44" s="63"/>
      <c r="L44" s="63"/>
      <c r="M44" s="63"/>
      <c r="N44" s="63"/>
      <c r="O44" s="25"/>
      <c r="P44" s="63"/>
      <c r="Q44" s="33"/>
    </row>
    <row r="45" spans="1:17" ht="14.25">
      <c r="A45" s="66"/>
      <c r="B45" s="65" t="s">
        <v>279</v>
      </c>
      <c r="C45" s="63"/>
      <c r="D45" s="63"/>
      <c r="E45" s="33"/>
      <c r="F45" s="33"/>
      <c r="G45" s="63"/>
      <c r="H45" s="63"/>
      <c r="I45" s="63"/>
      <c r="J45" s="63"/>
      <c r="K45" s="63"/>
      <c r="L45" s="63"/>
      <c r="M45" s="63"/>
      <c r="N45" s="63"/>
      <c r="O45" s="25"/>
      <c r="P45" s="63"/>
      <c r="Q45" s="33"/>
    </row>
    <row r="46" spans="1:17" ht="15">
      <c r="A46" s="24" t="s">
        <v>119</v>
      </c>
      <c r="B46" s="24" t="s">
        <v>120</v>
      </c>
      <c r="C46" s="24" t="s">
        <v>121</v>
      </c>
      <c r="D46" s="24" t="s">
        <v>122</v>
      </c>
      <c r="E46" s="24" t="s">
        <v>123</v>
      </c>
      <c r="F46" s="33"/>
      <c r="G46" s="63"/>
      <c r="H46" s="63"/>
      <c r="I46" s="63"/>
      <c r="J46" s="63"/>
      <c r="K46" s="63"/>
      <c r="L46" s="63"/>
      <c r="M46" s="63"/>
      <c r="N46" s="63"/>
      <c r="O46" s="25"/>
      <c r="P46" s="63"/>
      <c r="Q46" s="33"/>
    </row>
    <row r="47" spans="1:17" ht="12.75">
      <c r="A47" s="64" t="s">
        <v>492</v>
      </c>
      <c r="B47" s="63" t="s">
        <v>124</v>
      </c>
      <c r="C47" s="63" t="s">
        <v>40</v>
      </c>
      <c r="D47" s="63" t="s">
        <v>87</v>
      </c>
      <c r="E47" s="25" t="s">
        <v>913</v>
      </c>
      <c r="F47" s="33"/>
      <c r="G47" s="63"/>
      <c r="H47" s="63"/>
      <c r="I47" s="63"/>
      <c r="J47" s="63"/>
      <c r="K47" s="63"/>
      <c r="L47" s="63"/>
      <c r="M47" s="63"/>
      <c r="N47" s="63"/>
      <c r="O47" s="25"/>
      <c r="P47" s="63"/>
      <c r="Q47" s="33"/>
    </row>
    <row r="48" spans="1:17" ht="12.75">
      <c r="A48" s="64" t="s">
        <v>490</v>
      </c>
      <c r="B48" s="63" t="s">
        <v>124</v>
      </c>
      <c r="C48" s="63" t="s">
        <v>65</v>
      </c>
      <c r="D48" s="63" t="s">
        <v>188</v>
      </c>
      <c r="E48" s="25" t="s">
        <v>912</v>
      </c>
      <c r="F48" s="33"/>
      <c r="G48" s="63"/>
      <c r="H48" s="63"/>
      <c r="I48" s="63"/>
      <c r="J48" s="63"/>
      <c r="K48" s="63"/>
      <c r="L48" s="63"/>
      <c r="M48" s="63"/>
      <c r="N48" s="63"/>
      <c r="O48" s="25"/>
      <c r="P48" s="63"/>
      <c r="Q48" s="33"/>
    </row>
    <row r="49" spans="1:17" ht="12.75">
      <c r="A49" s="25"/>
      <c r="B49" s="63"/>
      <c r="C49" s="63"/>
      <c r="D49" s="63"/>
      <c r="E49" s="33"/>
      <c r="F49" s="33"/>
      <c r="G49" s="63"/>
      <c r="H49" s="63"/>
      <c r="I49" s="63"/>
      <c r="J49" s="63"/>
      <c r="K49" s="63"/>
      <c r="L49" s="63"/>
      <c r="M49" s="63"/>
      <c r="N49" s="63"/>
      <c r="O49" s="25"/>
      <c r="P49" s="63"/>
      <c r="Q49" s="33"/>
    </row>
    <row r="50" spans="1:17" ht="14.25">
      <c r="A50" s="66"/>
      <c r="B50" s="65" t="s">
        <v>127</v>
      </c>
      <c r="C50" s="63"/>
      <c r="D50" s="63"/>
      <c r="E50" s="33"/>
      <c r="F50" s="33"/>
      <c r="G50" s="63"/>
      <c r="H50" s="63"/>
      <c r="I50" s="63"/>
      <c r="J50" s="63"/>
      <c r="K50" s="63"/>
      <c r="L50" s="63"/>
      <c r="M50" s="63"/>
      <c r="N50" s="63"/>
      <c r="O50" s="25"/>
      <c r="P50" s="63"/>
      <c r="Q50" s="33"/>
    </row>
    <row r="51" spans="1:17" ht="15">
      <c r="A51" s="24" t="s">
        <v>119</v>
      </c>
      <c r="B51" s="24" t="s">
        <v>120</v>
      </c>
      <c r="C51" s="24" t="s">
        <v>121</v>
      </c>
      <c r="D51" s="24" t="s">
        <v>122</v>
      </c>
      <c r="E51" s="24" t="s">
        <v>123</v>
      </c>
      <c r="F51" s="33"/>
      <c r="G51" s="63"/>
      <c r="H51" s="63"/>
      <c r="I51" s="63"/>
      <c r="J51" s="63"/>
      <c r="K51" s="63"/>
      <c r="L51" s="63"/>
      <c r="M51" s="63"/>
      <c r="N51" s="63"/>
      <c r="O51" s="25"/>
      <c r="P51" s="63"/>
      <c r="Q51" s="33"/>
    </row>
    <row r="52" spans="1:17" ht="12.75">
      <c r="A52" s="64" t="s">
        <v>810</v>
      </c>
      <c r="B52" s="63" t="s">
        <v>127</v>
      </c>
      <c r="C52" s="63" t="s">
        <v>65</v>
      </c>
      <c r="D52" s="63" t="s">
        <v>87</v>
      </c>
      <c r="E52" s="25" t="s">
        <v>911</v>
      </c>
      <c r="F52" s="33"/>
      <c r="G52" s="63"/>
      <c r="H52" s="63"/>
      <c r="I52" s="63"/>
      <c r="J52" s="63"/>
      <c r="K52" s="63"/>
      <c r="L52" s="63"/>
      <c r="M52" s="63"/>
      <c r="N52" s="63"/>
      <c r="O52" s="25"/>
      <c r="P52" s="63"/>
      <c r="Q52" s="33"/>
    </row>
    <row r="53" spans="1:17" ht="12.75">
      <c r="A53" s="64" t="s">
        <v>806</v>
      </c>
      <c r="B53" s="63" t="s">
        <v>127</v>
      </c>
      <c r="C53" s="63" t="s">
        <v>65</v>
      </c>
      <c r="D53" s="63" t="s">
        <v>87</v>
      </c>
      <c r="E53" s="25" t="s">
        <v>910</v>
      </c>
      <c r="F53" s="33"/>
      <c r="G53" s="63"/>
      <c r="H53" s="63"/>
      <c r="I53" s="63"/>
      <c r="J53" s="63"/>
      <c r="K53" s="63"/>
      <c r="L53" s="63"/>
      <c r="M53" s="63"/>
      <c r="N53" s="63"/>
      <c r="O53" s="25"/>
      <c r="P53" s="63"/>
      <c r="Q53" s="33"/>
    </row>
    <row r="54" spans="1:17" ht="12.75">
      <c r="A54" s="64" t="s">
        <v>798</v>
      </c>
      <c r="B54" s="63" t="s">
        <v>127</v>
      </c>
      <c r="C54" s="63" t="s">
        <v>193</v>
      </c>
      <c r="D54" s="63" t="s">
        <v>87</v>
      </c>
      <c r="E54" s="25" t="s">
        <v>909</v>
      </c>
      <c r="F54" s="33"/>
      <c r="G54" s="63"/>
      <c r="H54" s="63"/>
      <c r="I54" s="63"/>
      <c r="J54" s="63"/>
      <c r="K54" s="63"/>
      <c r="L54" s="63"/>
      <c r="M54" s="63"/>
      <c r="N54" s="63"/>
      <c r="O54" s="25"/>
      <c r="P54" s="63"/>
      <c r="Q54" s="33"/>
    </row>
    <row r="55" spans="1:17" ht="12.75">
      <c r="A55" s="64" t="s">
        <v>681</v>
      </c>
      <c r="B55" s="63" t="s">
        <v>127</v>
      </c>
      <c r="C55" s="63" t="s">
        <v>40</v>
      </c>
      <c r="D55" s="63" t="s">
        <v>400</v>
      </c>
      <c r="E55" s="25" t="s">
        <v>908</v>
      </c>
      <c r="F55" s="33"/>
      <c r="G55" s="63"/>
      <c r="H55" s="63"/>
      <c r="I55" s="63"/>
      <c r="J55" s="63"/>
      <c r="K55" s="63"/>
      <c r="L55" s="63"/>
      <c r="M55" s="63"/>
      <c r="N55" s="63"/>
      <c r="O55" s="25"/>
      <c r="P55" s="63"/>
      <c r="Q55" s="33"/>
    </row>
    <row r="56" spans="1:17" ht="12.75">
      <c r="A56" s="25"/>
      <c r="B56" s="63"/>
      <c r="C56" s="63"/>
      <c r="D56" s="63"/>
      <c r="E56" s="33"/>
      <c r="F56" s="33"/>
      <c r="G56" s="63"/>
      <c r="H56" s="63"/>
      <c r="I56" s="63"/>
      <c r="J56" s="63"/>
      <c r="K56" s="63"/>
      <c r="L56" s="63"/>
      <c r="M56" s="63"/>
      <c r="N56" s="63"/>
      <c r="O56" s="25"/>
      <c r="P56" s="63"/>
      <c r="Q56" s="33"/>
    </row>
    <row r="57" spans="1:17" ht="14.25">
      <c r="A57" s="66"/>
      <c r="B57" s="65" t="s">
        <v>133</v>
      </c>
      <c r="C57" s="63"/>
      <c r="D57" s="63"/>
      <c r="E57" s="33"/>
      <c r="F57" s="33"/>
      <c r="G57" s="63"/>
      <c r="H57" s="63"/>
      <c r="I57" s="63"/>
      <c r="J57" s="63"/>
      <c r="K57" s="63"/>
      <c r="L57" s="63"/>
      <c r="M57" s="63"/>
      <c r="N57" s="63"/>
      <c r="O57" s="25"/>
      <c r="P57" s="63"/>
      <c r="Q57" s="33"/>
    </row>
    <row r="58" spans="1:17" ht="15">
      <c r="A58" s="24" t="s">
        <v>119</v>
      </c>
      <c r="B58" s="24" t="s">
        <v>120</v>
      </c>
      <c r="C58" s="24" t="s">
        <v>121</v>
      </c>
      <c r="D58" s="24" t="s">
        <v>122</v>
      </c>
      <c r="E58" s="24" t="s">
        <v>123</v>
      </c>
      <c r="F58" s="33"/>
      <c r="G58" s="63"/>
      <c r="H58" s="63"/>
      <c r="I58" s="63"/>
      <c r="J58" s="63"/>
      <c r="K58" s="63"/>
      <c r="L58" s="63"/>
      <c r="M58" s="63"/>
      <c r="N58" s="63"/>
      <c r="O58" s="25"/>
      <c r="P58" s="63"/>
      <c r="Q58" s="33"/>
    </row>
    <row r="59" spans="1:17" ht="12.75">
      <c r="A59" s="64" t="s">
        <v>907</v>
      </c>
      <c r="B59" s="63" t="s">
        <v>134</v>
      </c>
      <c r="C59" s="63" t="s">
        <v>37</v>
      </c>
      <c r="D59" s="63" t="s">
        <v>221</v>
      </c>
      <c r="E59" s="25" t="s">
        <v>906</v>
      </c>
      <c r="F59" s="33"/>
      <c r="G59" s="63"/>
      <c r="H59" s="63"/>
      <c r="I59" s="63"/>
      <c r="J59" s="63"/>
      <c r="K59" s="63"/>
      <c r="L59" s="63"/>
      <c r="M59" s="63"/>
      <c r="N59" s="63"/>
      <c r="O59" s="25"/>
      <c r="P59" s="63"/>
      <c r="Q59" s="33"/>
    </row>
    <row r="60" spans="1:17" ht="12.75">
      <c r="A60" s="64" t="s">
        <v>669</v>
      </c>
      <c r="B60" s="63" t="s">
        <v>134</v>
      </c>
      <c r="C60" s="63" t="s">
        <v>40</v>
      </c>
      <c r="D60" s="63" t="s">
        <v>404</v>
      </c>
      <c r="E60" s="25" t="s">
        <v>905</v>
      </c>
      <c r="F60" s="33"/>
      <c r="G60" s="63"/>
      <c r="H60" s="63"/>
      <c r="I60" s="63"/>
      <c r="J60" s="63"/>
      <c r="K60" s="63"/>
      <c r="L60" s="63"/>
      <c r="M60" s="63"/>
      <c r="N60" s="63"/>
      <c r="O60" s="25"/>
      <c r="P60" s="63"/>
      <c r="Q60" s="33"/>
    </row>
    <row r="61" spans="1:17" ht="12.75">
      <c r="A61" s="64" t="s">
        <v>782</v>
      </c>
      <c r="B61" s="63" t="s">
        <v>134</v>
      </c>
      <c r="C61" s="63" t="s">
        <v>40</v>
      </c>
      <c r="D61" s="63" t="s">
        <v>319</v>
      </c>
      <c r="E61" s="25" t="s">
        <v>904</v>
      </c>
      <c r="F61" s="33"/>
      <c r="G61" s="63"/>
      <c r="H61" s="63"/>
      <c r="I61" s="63"/>
      <c r="J61" s="63"/>
      <c r="K61" s="63"/>
      <c r="L61" s="63"/>
      <c r="M61" s="63"/>
      <c r="N61" s="63"/>
      <c r="O61" s="25"/>
      <c r="P61" s="63"/>
      <c r="Q61" s="33"/>
    </row>
    <row r="62" spans="1:17" ht="12.75">
      <c r="A62" s="64" t="s">
        <v>666</v>
      </c>
      <c r="B62" s="63" t="s">
        <v>149</v>
      </c>
      <c r="C62" s="63" t="s">
        <v>193</v>
      </c>
      <c r="D62" s="63" t="s">
        <v>188</v>
      </c>
      <c r="E62" s="25" t="s">
        <v>903</v>
      </c>
      <c r="F62" s="33"/>
      <c r="G62" s="63"/>
      <c r="H62" s="63"/>
      <c r="I62" s="63"/>
      <c r="J62" s="63"/>
      <c r="K62" s="63"/>
      <c r="L62" s="63"/>
      <c r="M62" s="63"/>
      <c r="N62" s="63"/>
      <c r="O62" s="25"/>
      <c r="P62" s="63"/>
      <c r="Q62" s="33"/>
    </row>
  </sheetData>
  <sheetProtection/>
  <mergeCells count="18">
    <mergeCell ref="A21:P21"/>
    <mergeCell ref="A27:P27"/>
    <mergeCell ref="P3:P4"/>
    <mergeCell ref="Q3:Q4"/>
    <mergeCell ref="A5:P5"/>
    <mergeCell ref="A8:P8"/>
    <mergeCell ref="A11:P11"/>
    <mergeCell ref="A17:P17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11" sqref="F11:F15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3" max="3" width="10.625" style="0" bestFit="1" customWidth="1"/>
    <col min="4" max="4" width="10.75390625" style="0" bestFit="1" customWidth="1"/>
    <col min="5" max="5" width="22.75390625" style="0" bestFit="1" customWidth="1"/>
    <col min="6" max="6" width="28.625" style="0" bestFit="1" customWidth="1"/>
    <col min="7" max="7" width="5.00390625" style="0" bestFit="1" customWidth="1"/>
    <col min="8" max="8" width="10.375" style="0" bestFit="1" customWidth="1"/>
    <col min="9" max="9" width="8.875" style="0" bestFit="1" customWidth="1"/>
    <col min="10" max="10" width="9.625" style="0" bestFit="1" customWidth="1"/>
    <col min="11" max="11" width="8.875" style="0" bestFit="1" customWidth="1"/>
  </cols>
  <sheetData>
    <row r="1" spans="1:11" ht="12.75">
      <c r="A1" s="41" t="s">
        <v>936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23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 s="47" t="s">
        <v>0</v>
      </c>
      <c r="B3" s="49" t="s">
        <v>6</v>
      </c>
      <c r="C3" s="49" t="s">
        <v>7</v>
      </c>
      <c r="D3" s="39" t="s">
        <v>935</v>
      </c>
      <c r="E3" s="39" t="s">
        <v>4</v>
      </c>
      <c r="F3" s="39" t="s">
        <v>8</v>
      </c>
      <c r="G3" s="39" t="s">
        <v>731</v>
      </c>
      <c r="H3" s="39"/>
      <c r="I3" s="39" t="s">
        <v>730</v>
      </c>
      <c r="J3" s="39" t="s">
        <v>3</v>
      </c>
      <c r="K3" s="50" t="s">
        <v>2</v>
      </c>
    </row>
    <row r="4" spans="1:11" ht="15.75" thickBot="1">
      <c r="A4" s="48"/>
      <c r="B4" s="40"/>
      <c r="C4" s="40"/>
      <c r="D4" s="40"/>
      <c r="E4" s="40"/>
      <c r="F4" s="40"/>
      <c r="G4" s="34" t="s">
        <v>729</v>
      </c>
      <c r="H4" s="58" t="s">
        <v>728</v>
      </c>
      <c r="I4" s="40"/>
      <c r="J4" s="40"/>
      <c r="K4" s="51"/>
    </row>
    <row r="5" spans="1:11" ht="15">
      <c r="A5" s="38" t="s">
        <v>79</v>
      </c>
      <c r="B5" s="38"/>
      <c r="C5" s="38"/>
      <c r="D5" s="38"/>
      <c r="E5" s="38"/>
      <c r="F5" s="38"/>
      <c r="G5" s="38"/>
      <c r="H5" s="38"/>
      <c r="I5" s="38"/>
      <c r="J5" s="38"/>
      <c r="K5" s="4"/>
    </row>
    <row r="6" spans="1:11" ht="12.75">
      <c r="A6" s="6" t="s">
        <v>533</v>
      </c>
      <c r="B6" s="6" t="s">
        <v>534</v>
      </c>
      <c r="C6" s="6" t="s">
        <v>252</v>
      </c>
      <c r="D6" s="6" t="str">
        <f>"0,8213"</f>
        <v>0,8213</v>
      </c>
      <c r="E6" s="6" t="s">
        <v>205</v>
      </c>
      <c r="F6" s="6" t="s">
        <v>535</v>
      </c>
      <c r="G6" s="7" t="s">
        <v>819</v>
      </c>
      <c r="H6" s="62" t="s">
        <v>934</v>
      </c>
      <c r="I6" s="6" t="str">
        <f>"1612,5"</f>
        <v>1612,5</v>
      </c>
      <c r="J6" s="7" t="str">
        <f>"1324,3463"</f>
        <v>1324,3463</v>
      </c>
      <c r="K6" s="6" t="s">
        <v>28</v>
      </c>
    </row>
    <row r="7" spans="1:11" ht="12.75">
      <c r="A7" s="4"/>
      <c r="B7" s="4"/>
      <c r="C7" s="4"/>
      <c r="D7" s="4"/>
      <c r="E7" s="4"/>
      <c r="F7" s="4"/>
      <c r="G7" s="3"/>
      <c r="H7" s="54"/>
      <c r="I7" s="4"/>
      <c r="J7" s="3"/>
      <c r="K7" s="4"/>
    </row>
    <row r="8" spans="1:11" ht="15">
      <c r="A8" s="37" t="s">
        <v>261</v>
      </c>
      <c r="B8" s="37"/>
      <c r="C8" s="37"/>
      <c r="D8" s="37"/>
      <c r="E8" s="37"/>
      <c r="F8" s="37"/>
      <c r="G8" s="37"/>
      <c r="H8" s="37"/>
      <c r="I8" s="37"/>
      <c r="J8" s="37"/>
      <c r="K8" s="4"/>
    </row>
    <row r="9" spans="1:11" ht="12.75">
      <c r="A9" s="6" t="s">
        <v>314</v>
      </c>
      <c r="B9" s="6" t="s">
        <v>315</v>
      </c>
      <c r="C9" s="6" t="s">
        <v>316</v>
      </c>
      <c r="D9" s="6" t="str">
        <f>"0,7242"</f>
        <v>0,7242</v>
      </c>
      <c r="E9" s="6" t="s">
        <v>317</v>
      </c>
      <c r="F9" s="6" t="s">
        <v>318</v>
      </c>
      <c r="G9" s="7" t="s">
        <v>53</v>
      </c>
      <c r="H9" s="62" t="s">
        <v>51</v>
      </c>
      <c r="I9" s="6" t="str">
        <f>"3150,0"</f>
        <v>3150,0</v>
      </c>
      <c r="J9" s="7" t="str">
        <f>"2281,2300"</f>
        <v>2281,2300</v>
      </c>
      <c r="K9" s="6" t="s">
        <v>28</v>
      </c>
    </row>
    <row r="10" spans="1:11" ht="12.75">
      <c r="A10" s="4"/>
      <c r="B10" s="4"/>
      <c r="C10" s="4"/>
      <c r="D10" s="4"/>
      <c r="E10" s="4"/>
      <c r="F10" s="4"/>
      <c r="G10" s="3"/>
      <c r="H10" s="54"/>
      <c r="I10" s="4"/>
      <c r="J10" s="3"/>
      <c r="K10" s="4"/>
    </row>
    <row r="11" spans="1:11" ht="15">
      <c r="A11" s="4"/>
      <c r="B11" s="4"/>
      <c r="C11" s="4"/>
      <c r="D11" s="4"/>
      <c r="E11" s="18" t="s">
        <v>112</v>
      </c>
      <c r="F11" s="18" t="s">
        <v>151</v>
      </c>
      <c r="G11" s="3"/>
      <c r="H11" s="54"/>
      <c r="I11" s="4"/>
      <c r="J11" s="3"/>
      <c r="K11" s="4"/>
    </row>
    <row r="12" spans="1:11" ht="15">
      <c r="A12" s="4"/>
      <c r="B12" s="4"/>
      <c r="C12" s="4"/>
      <c r="D12" s="4"/>
      <c r="E12" s="18" t="s">
        <v>113</v>
      </c>
      <c r="F12" s="18" t="s">
        <v>152</v>
      </c>
      <c r="G12" s="3"/>
      <c r="H12" s="54"/>
      <c r="I12" s="4"/>
      <c r="J12" s="3"/>
      <c r="K12" s="4"/>
    </row>
    <row r="13" spans="1:11" ht="15">
      <c r="A13" s="4"/>
      <c r="B13" s="4"/>
      <c r="C13" s="4"/>
      <c r="D13" s="4"/>
      <c r="E13" s="18" t="s">
        <v>114</v>
      </c>
      <c r="F13" s="18" t="s">
        <v>153</v>
      </c>
      <c r="G13" s="3"/>
      <c r="H13" s="54"/>
      <c r="I13" s="4"/>
      <c r="J13" s="3"/>
      <c r="K13" s="4"/>
    </row>
    <row r="14" spans="1:11" ht="15">
      <c r="A14" s="4"/>
      <c r="B14" s="4"/>
      <c r="C14" s="4"/>
      <c r="D14" s="4"/>
      <c r="E14" s="18" t="s">
        <v>115</v>
      </c>
      <c r="F14" s="18" t="s">
        <v>692</v>
      </c>
      <c r="G14" s="3"/>
      <c r="H14" s="54"/>
      <c r="I14" s="4"/>
      <c r="J14" s="3"/>
      <c r="K14" s="4"/>
    </row>
    <row r="15" spans="1:11" ht="15">
      <c r="A15" s="4"/>
      <c r="B15" s="4"/>
      <c r="C15" s="4"/>
      <c r="D15" s="4"/>
      <c r="E15" s="18" t="s">
        <v>115</v>
      </c>
      <c r="F15" s="18" t="s">
        <v>691</v>
      </c>
      <c r="G15" s="3"/>
      <c r="H15" s="54"/>
      <c r="I15" s="4"/>
      <c r="J15" s="3"/>
      <c r="K15" s="4"/>
    </row>
    <row r="16" spans="1:11" ht="15">
      <c r="A16" s="4"/>
      <c r="B16" s="4"/>
      <c r="C16" s="4"/>
      <c r="D16" s="4"/>
      <c r="E16" s="18"/>
      <c r="F16" s="4"/>
      <c r="G16" s="3"/>
      <c r="H16" s="54"/>
      <c r="I16" s="4"/>
      <c r="J16" s="3"/>
      <c r="K16" s="4"/>
    </row>
    <row r="17" spans="1:11" ht="15">
      <c r="A17" s="4"/>
      <c r="B17" s="4"/>
      <c r="C17" s="4"/>
      <c r="D17" s="4"/>
      <c r="E17" s="18"/>
      <c r="F17" s="4"/>
      <c r="G17" s="3"/>
      <c r="H17" s="54"/>
      <c r="I17" s="4"/>
      <c r="J17" s="3"/>
      <c r="K17" s="4"/>
    </row>
    <row r="18" spans="1:11" ht="12.75">
      <c r="A18" s="4"/>
      <c r="B18" s="4"/>
      <c r="C18" s="4"/>
      <c r="D18" s="4"/>
      <c r="E18" s="4"/>
      <c r="F18" s="4"/>
      <c r="G18" s="3"/>
      <c r="H18" s="54"/>
      <c r="I18" s="4"/>
      <c r="J18" s="3"/>
      <c r="K18" s="4"/>
    </row>
    <row r="19" spans="1:11" ht="18">
      <c r="A19" s="19" t="s">
        <v>116</v>
      </c>
      <c r="B19" s="19"/>
      <c r="C19" s="4"/>
      <c r="D19" s="4"/>
      <c r="E19" s="4"/>
      <c r="F19" s="4"/>
      <c r="G19" s="3"/>
      <c r="H19" s="54"/>
      <c r="I19" s="4"/>
      <c r="J19" s="3"/>
      <c r="K19" s="4"/>
    </row>
    <row r="20" spans="1:11" ht="15">
      <c r="A20" s="20" t="s">
        <v>117</v>
      </c>
      <c r="B20" s="20"/>
      <c r="C20" s="4"/>
      <c r="D20" s="4"/>
      <c r="E20" s="4"/>
      <c r="F20" s="4"/>
      <c r="G20" s="3"/>
      <c r="H20" s="54"/>
      <c r="I20" s="4"/>
      <c r="J20" s="3"/>
      <c r="K20" s="4"/>
    </row>
    <row r="21" spans="1:11" ht="14.25">
      <c r="A21" s="22"/>
      <c r="B21" s="23" t="s">
        <v>127</v>
      </c>
      <c r="C21" s="4"/>
      <c r="D21" s="4"/>
      <c r="E21" s="4"/>
      <c r="F21" s="4"/>
      <c r="G21" s="3"/>
      <c r="H21" s="54"/>
      <c r="I21" s="4"/>
      <c r="J21" s="3"/>
      <c r="K21" s="4"/>
    </row>
    <row r="22" spans="1:11" ht="15">
      <c r="A22" s="24" t="s">
        <v>119</v>
      </c>
      <c r="B22" s="24" t="s">
        <v>120</v>
      </c>
      <c r="C22" s="24" t="s">
        <v>121</v>
      </c>
      <c r="D22" s="24" t="s">
        <v>122</v>
      </c>
      <c r="E22" s="24" t="s">
        <v>931</v>
      </c>
      <c r="F22" s="4"/>
      <c r="G22" s="3"/>
      <c r="H22" s="54"/>
      <c r="I22" s="4"/>
      <c r="J22" s="3"/>
      <c r="K22" s="4"/>
    </row>
    <row r="23" spans="1:11" ht="12.75">
      <c r="A23" s="21" t="s">
        <v>563</v>
      </c>
      <c r="B23" s="4" t="s">
        <v>127</v>
      </c>
      <c r="C23" s="4" t="s">
        <v>65</v>
      </c>
      <c r="D23" s="4" t="s">
        <v>933</v>
      </c>
      <c r="E23" s="25" t="s">
        <v>932</v>
      </c>
      <c r="F23" s="4"/>
      <c r="G23" s="3"/>
      <c r="H23" s="54"/>
      <c r="I23" s="4"/>
      <c r="J23" s="3"/>
      <c r="K23" s="4"/>
    </row>
    <row r="24" spans="1:11" ht="12.75">
      <c r="A24" s="4"/>
      <c r="B24" s="4"/>
      <c r="C24" s="4"/>
      <c r="D24" s="4"/>
      <c r="E24" s="4"/>
      <c r="F24" s="4"/>
      <c r="G24" s="3"/>
      <c r="H24" s="54"/>
      <c r="I24" s="4"/>
      <c r="J24" s="3"/>
      <c r="K24" s="4"/>
    </row>
    <row r="25" spans="1:11" ht="12.75">
      <c r="A25" s="4"/>
      <c r="B25" s="4"/>
      <c r="C25" s="4"/>
      <c r="D25" s="4"/>
      <c r="E25" s="4"/>
      <c r="F25" s="4"/>
      <c r="G25" s="3"/>
      <c r="H25" s="54"/>
      <c r="I25" s="4"/>
      <c r="J25" s="3"/>
      <c r="K25" s="4"/>
    </row>
    <row r="26" spans="1:11" ht="15">
      <c r="A26" s="20" t="s">
        <v>136</v>
      </c>
      <c r="B26" s="20"/>
      <c r="C26" s="4"/>
      <c r="D26" s="4"/>
      <c r="E26" s="4"/>
      <c r="F26" s="4"/>
      <c r="G26" s="3"/>
      <c r="H26" s="54"/>
      <c r="I26" s="4"/>
      <c r="J26" s="3"/>
      <c r="K26" s="4"/>
    </row>
    <row r="27" spans="1:11" ht="14.25">
      <c r="A27" s="22"/>
      <c r="B27" s="23" t="s">
        <v>133</v>
      </c>
      <c r="C27" s="4"/>
      <c r="D27" s="4"/>
      <c r="E27" s="4"/>
      <c r="F27" s="4"/>
      <c r="G27" s="3"/>
      <c r="H27" s="54"/>
      <c r="I27" s="4"/>
      <c r="J27" s="3"/>
      <c r="K27" s="4"/>
    </row>
    <row r="28" spans="1:11" ht="15">
      <c r="A28" s="24" t="s">
        <v>119</v>
      </c>
      <c r="B28" s="24" t="s">
        <v>120</v>
      </c>
      <c r="C28" s="24" t="s">
        <v>121</v>
      </c>
      <c r="D28" s="24" t="s">
        <v>122</v>
      </c>
      <c r="E28" s="24" t="s">
        <v>931</v>
      </c>
      <c r="F28" s="4"/>
      <c r="G28" s="3"/>
      <c r="H28" s="54"/>
      <c r="I28" s="4"/>
      <c r="J28" s="3"/>
      <c r="K28" s="4"/>
    </row>
    <row r="29" spans="1:11" ht="12.75">
      <c r="A29" s="21" t="s">
        <v>362</v>
      </c>
      <c r="B29" s="4" t="s">
        <v>146</v>
      </c>
      <c r="C29" s="4" t="s">
        <v>40</v>
      </c>
      <c r="D29" s="4" t="s">
        <v>930</v>
      </c>
      <c r="E29" s="25" t="s">
        <v>929</v>
      </c>
      <c r="F29" s="4"/>
      <c r="G29" s="3"/>
      <c r="H29" s="54"/>
      <c r="I29" s="4"/>
      <c r="J29" s="3"/>
      <c r="K29" s="4"/>
    </row>
  </sheetData>
  <sheetProtection/>
  <mergeCells count="13">
    <mergeCell ref="G3:H3"/>
    <mergeCell ref="I3:I4"/>
    <mergeCell ref="J3:J4"/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4">
      <selection activeCell="F17" sqref="F17:F21"/>
    </sheetView>
  </sheetViews>
  <sheetFormatPr defaultColWidth="9.00390625" defaultRowHeight="12.75"/>
  <cols>
    <col min="1" max="1" width="26.00390625" style="0" bestFit="1" customWidth="1"/>
    <col min="2" max="2" width="29.00390625" style="0" bestFit="1" customWidth="1"/>
    <col min="3" max="3" width="10.625" style="0" bestFit="1" customWidth="1"/>
    <col min="4" max="4" width="10.75390625" style="0" bestFit="1" customWidth="1"/>
    <col min="5" max="5" width="22.75390625" style="0" bestFit="1" customWidth="1"/>
    <col min="6" max="6" width="29.00390625" style="0" bestFit="1" customWidth="1"/>
    <col min="7" max="7" width="5.625" style="0" bestFit="1" customWidth="1"/>
    <col min="8" max="8" width="10.375" style="0" bestFit="1" customWidth="1"/>
    <col min="9" max="9" width="8.875" style="0" bestFit="1" customWidth="1"/>
    <col min="10" max="10" width="9.625" style="0" bestFit="1" customWidth="1"/>
    <col min="11" max="11" width="8.875" style="0" bestFit="1" customWidth="1"/>
  </cols>
  <sheetData>
    <row r="1" spans="1:11" ht="12.75">
      <c r="A1" s="41" t="s">
        <v>952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04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 s="47" t="s">
        <v>0</v>
      </c>
      <c r="B3" s="49" t="s">
        <v>6</v>
      </c>
      <c r="C3" s="49" t="s">
        <v>7</v>
      </c>
      <c r="D3" s="39" t="s">
        <v>935</v>
      </c>
      <c r="E3" s="39" t="s">
        <v>4</v>
      </c>
      <c r="F3" s="39" t="s">
        <v>8</v>
      </c>
      <c r="G3" s="39" t="s">
        <v>731</v>
      </c>
      <c r="H3" s="39"/>
      <c r="I3" s="39" t="s">
        <v>730</v>
      </c>
      <c r="J3" s="39" t="s">
        <v>3</v>
      </c>
      <c r="K3" s="50" t="s">
        <v>2</v>
      </c>
    </row>
    <row r="4" spans="1:11" ht="15.75" thickBot="1">
      <c r="A4" s="48"/>
      <c r="B4" s="40"/>
      <c r="C4" s="40"/>
      <c r="D4" s="40"/>
      <c r="E4" s="40"/>
      <c r="F4" s="40"/>
      <c r="G4" s="34" t="s">
        <v>729</v>
      </c>
      <c r="H4" s="58" t="s">
        <v>728</v>
      </c>
      <c r="I4" s="40"/>
      <c r="J4" s="40"/>
      <c r="K4" s="51"/>
    </row>
    <row r="5" spans="1:11" ht="15">
      <c r="A5" s="38" t="s">
        <v>79</v>
      </c>
      <c r="B5" s="38"/>
      <c r="C5" s="38"/>
      <c r="D5" s="38"/>
      <c r="E5" s="38"/>
      <c r="F5" s="38"/>
      <c r="G5" s="38"/>
      <c r="H5" s="38"/>
      <c r="I5" s="38"/>
      <c r="J5" s="38"/>
      <c r="K5" s="4"/>
    </row>
    <row r="6" spans="1:11" ht="12.75">
      <c r="A6" s="6" t="s">
        <v>218</v>
      </c>
      <c r="B6" s="6" t="s">
        <v>219</v>
      </c>
      <c r="C6" s="6" t="s">
        <v>951</v>
      </c>
      <c r="D6" s="6" t="str">
        <f>"0,8381"</f>
        <v>0,8381</v>
      </c>
      <c r="E6" s="6" t="s">
        <v>205</v>
      </c>
      <c r="F6" s="6" t="s">
        <v>34</v>
      </c>
      <c r="G6" s="7" t="s">
        <v>65</v>
      </c>
      <c r="H6" s="62" t="s">
        <v>759</v>
      </c>
      <c r="I6" s="6" t="str">
        <f>"1425,0"</f>
        <v>1425,0</v>
      </c>
      <c r="J6" s="7" t="str">
        <f>"1194,2925"</f>
        <v>1194,2925</v>
      </c>
      <c r="K6" s="6" t="s">
        <v>28</v>
      </c>
    </row>
    <row r="7" spans="1:11" ht="12.75">
      <c r="A7" s="4"/>
      <c r="B7" s="4"/>
      <c r="C7" s="4"/>
      <c r="D7" s="4"/>
      <c r="E7" s="4"/>
      <c r="F7" s="4"/>
      <c r="G7" s="3"/>
      <c r="H7" s="54"/>
      <c r="I7" s="4"/>
      <c r="J7" s="3"/>
      <c r="K7" s="4"/>
    </row>
    <row r="8" spans="1:11" ht="15">
      <c r="A8" s="37" t="s">
        <v>169</v>
      </c>
      <c r="B8" s="37"/>
      <c r="C8" s="37"/>
      <c r="D8" s="37"/>
      <c r="E8" s="37"/>
      <c r="F8" s="37"/>
      <c r="G8" s="37"/>
      <c r="H8" s="37"/>
      <c r="I8" s="37"/>
      <c r="J8" s="37"/>
      <c r="K8" s="4"/>
    </row>
    <row r="9" spans="1:11" ht="12.75">
      <c r="A9" s="6" t="s">
        <v>950</v>
      </c>
      <c r="B9" s="6" t="s">
        <v>949</v>
      </c>
      <c r="C9" s="6" t="s">
        <v>948</v>
      </c>
      <c r="D9" s="6" t="str">
        <f>"0,7879"</f>
        <v>0,7879</v>
      </c>
      <c r="E9" s="6" t="s">
        <v>243</v>
      </c>
      <c r="F9" s="6" t="s">
        <v>244</v>
      </c>
      <c r="G9" s="7" t="s">
        <v>67</v>
      </c>
      <c r="H9" s="62" t="s">
        <v>53</v>
      </c>
      <c r="I9" s="6" t="str">
        <f>"3600,0"</f>
        <v>3600,0</v>
      </c>
      <c r="J9" s="7" t="str">
        <f>"2836,4399"</f>
        <v>2836,4399</v>
      </c>
      <c r="K9" s="6" t="s">
        <v>28</v>
      </c>
    </row>
    <row r="10" spans="1:11" ht="12.75">
      <c r="A10" s="4"/>
      <c r="B10" s="4"/>
      <c r="C10" s="4"/>
      <c r="D10" s="4"/>
      <c r="E10" s="4"/>
      <c r="F10" s="4"/>
      <c r="G10" s="3"/>
      <c r="H10" s="54"/>
      <c r="I10" s="4"/>
      <c r="J10" s="3"/>
      <c r="K10" s="4"/>
    </row>
    <row r="11" spans="1:11" ht="15">
      <c r="A11" s="37" t="s">
        <v>261</v>
      </c>
      <c r="B11" s="37"/>
      <c r="C11" s="37"/>
      <c r="D11" s="37"/>
      <c r="E11" s="37"/>
      <c r="F11" s="37"/>
      <c r="G11" s="37"/>
      <c r="H11" s="37"/>
      <c r="I11" s="37"/>
      <c r="J11" s="37"/>
      <c r="K11" s="4"/>
    </row>
    <row r="12" spans="1:11" ht="12.75">
      <c r="A12" s="6" t="s">
        <v>762</v>
      </c>
      <c r="B12" s="6" t="s">
        <v>761</v>
      </c>
      <c r="C12" s="6" t="s">
        <v>760</v>
      </c>
      <c r="D12" s="6" t="str">
        <f>"0,7262"</f>
        <v>0,7262</v>
      </c>
      <c r="E12" s="6" t="s">
        <v>47</v>
      </c>
      <c r="F12" s="6" t="s">
        <v>48</v>
      </c>
      <c r="G12" s="7" t="s">
        <v>40</v>
      </c>
      <c r="H12" s="62" t="s">
        <v>947</v>
      </c>
      <c r="I12" s="6" t="str">
        <f>"2250,0"</f>
        <v>2250,0</v>
      </c>
      <c r="J12" s="7" t="str">
        <f>"1633,9500"</f>
        <v>1633,9500</v>
      </c>
      <c r="K12" s="6" t="s">
        <v>28</v>
      </c>
    </row>
    <row r="13" spans="1:11" ht="12.75">
      <c r="A13" s="4"/>
      <c r="B13" s="4"/>
      <c r="C13" s="4"/>
      <c r="D13" s="4"/>
      <c r="E13" s="4"/>
      <c r="F13" s="4"/>
      <c r="G13" s="3"/>
      <c r="H13" s="54"/>
      <c r="I13" s="4"/>
      <c r="J13" s="3"/>
      <c r="K13" s="4"/>
    </row>
    <row r="14" spans="1:11" ht="15">
      <c r="A14" s="37" t="s">
        <v>100</v>
      </c>
      <c r="B14" s="37"/>
      <c r="C14" s="37"/>
      <c r="D14" s="37"/>
      <c r="E14" s="37"/>
      <c r="F14" s="37"/>
      <c r="G14" s="37"/>
      <c r="H14" s="37"/>
      <c r="I14" s="37"/>
      <c r="J14" s="37"/>
      <c r="K14" s="4"/>
    </row>
    <row r="15" spans="1:11" ht="12.75">
      <c r="A15" s="6" t="s">
        <v>202</v>
      </c>
      <c r="B15" s="6" t="s">
        <v>203</v>
      </c>
      <c r="C15" s="6" t="s">
        <v>209</v>
      </c>
      <c r="D15" s="6" t="str">
        <f>"0,6625"</f>
        <v>0,6625</v>
      </c>
      <c r="E15" s="6" t="s">
        <v>205</v>
      </c>
      <c r="F15" s="6" t="s">
        <v>34</v>
      </c>
      <c r="G15" s="7" t="s">
        <v>37</v>
      </c>
      <c r="H15" s="62" t="s">
        <v>946</v>
      </c>
      <c r="I15" s="6" t="str">
        <f>"2800,0"</f>
        <v>2800,0</v>
      </c>
      <c r="J15" s="7" t="str">
        <f>"1855,0001"</f>
        <v>1855,0001</v>
      </c>
      <c r="K15" s="6" t="s">
        <v>28</v>
      </c>
    </row>
    <row r="16" spans="1:11" ht="12.75">
      <c r="A16" s="4"/>
      <c r="B16" s="4"/>
      <c r="C16" s="4"/>
      <c r="D16" s="4"/>
      <c r="E16" s="4"/>
      <c r="F16" s="4"/>
      <c r="G16" s="3"/>
      <c r="H16" s="54"/>
      <c r="I16" s="4"/>
      <c r="J16" s="3"/>
      <c r="K16" s="4"/>
    </row>
    <row r="17" spans="1:11" ht="15">
      <c r="A17" s="4"/>
      <c r="B17" s="4"/>
      <c r="C17" s="4"/>
      <c r="D17" s="4"/>
      <c r="E17" s="18" t="s">
        <v>112</v>
      </c>
      <c r="F17" s="18" t="s">
        <v>151</v>
      </c>
      <c r="G17" s="3"/>
      <c r="H17" s="54"/>
      <c r="I17" s="4"/>
      <c r="J17" s="3"/>
      <c r="K17" s="4"/>
    </row>
    <row r="18" spans="1:11" ht="15">
      <c r="A18" s="4"/>
      <c r="B18" s="4"/>
      <c r="C18" s="4"/>
      <c r="D18" s="4"/>
      <c r="E18" s="18" t="s">
        <v>113</v>
      </c>
      <c r="F18" s="18" t="s">
        <v>152</v>
      </c>
      <c r="G18" s="3"/>
      <c r="H18" s="54"/>
      <c r="I18" s="4"/>
      <c r="J18" s="3"/>
      <c r="K18" s="4"/>
    </row>
    <row r="19" spans="1:11" ht="15">
      <c r="A19" s="4"/>
      <c r="B19" s="4"/>
      <c r="C19" s="4"/>
      <c r="D19" s="4"/>
      <c r="E19" s="18" t="s">
        <v>114</v>
      </c>
      <c r="F19" s="18" t="s">
        <v>153</v>
      </c>
      <c r="G19" s="3"/>
      <c r="H19" s="54"/>
      <c r="I19" s="4"/>
      <c r="J19" s="3"/>
      <c r="K19" s="4"/>
    </row>
    <row r="20" spans="1:11" ht="15">
      <c r="A20" s="4"/>
      <c r="B20" s="4"/>
      <c r="C20" s="4"/>
      <c r="D20" s="4"/>
      <c r="E20" s="18" t="s">
        <v>115</v>
      </c>
      <c r="F20" s="18" t="s">
        <v>692</v>
      </c>
      <c r="G20" s="3"/>
      <c r="H20" s="54"/>
      <c r="I20" s="4"/>
      <c r="J20" s="3"/>
      <c r="K20" s="4"/>
    </row>
    <row r="21" spans="1:11" ht="15">
      <c r="A21" s="4"/>
      <c r="B21" s="4"/>
      <c r="C21" s="4"/>
      <c r="D21" s="4"/>
      <c r="E21" s="18" t="s">
        <v>115</v>
      </c>
      <c r="F21" s="18" t="s">
        <v>691</v>
      </c>
      <c r="G21" s="3"/>
      <c r="H21" s="54"/>
      <c r="I21" s="4"/>
      <c r="J21" s="3"/>
      <c r="K21" s="4"/>
    </row>
    <row r="22" spans="1:11" ht="15">
      <c r="A22" s="4"/>
      <c r="B22" s="4"/>
      <c r="C22" s="4"/>
      <c r="D22" s="4"/>
      <c r="E22" s="18"/>
      <c r="F22" s="4"/>
      <c r="G22" s="3"/>
      <c r="H22" s="54"/>
      <c r="I22" s="4"/>
      <c r="J22" s="3"/>
      <c r="K22" s="4"/>
    </row>
    <row r="23" spans="1:11" ht="15">
      <c r="A23" s="4"/>
      <c r="B23" s="4"/>
      <c r="C23" s="4"/>
      <c r="D23" s="4"/>
      <c r="E23" s="18"/>
      <c r="F23" s="4"/>
      <c r="G23" s="3"/>
      <c r="H23" s="54"/>
      <c r="I23" s="4"/>
      <c r="J23" s="3"/>
      <c r="K23" s="4"/>
    </row>
    <row r="24" spans="1:11" ht="12.75">
      <c r="A24" s="4"/>
      <c r="B24" s="4"/>
      <c r="C24" s="4"/>
      <c r="D24" s="4"/>
      <c r="E24" s="4"/>
      <c r="F24" s="4"/>
      <c r="G24" s="3"/>
      <c r="H24" s="54"/>
      <c r="I24" s="4"/>
      <c r="J24" s="3"/>
      <c r="K24" s="4"/>
    </row>
    <row r="25" spans="1:11" ht="18">
      <c r="A25" s="19" t="s">
        <v>116</v>
      </c>
      <c r="B25" s="19"/>
      <c r="C25" s="4"/>
      <c r="D25" s="4"/>
      <c r="E25" s="4"/>
      <c r="F25" s="4"/>
      <c r="G25" s="3"/>
      <c r="H25" s="54"/>
      <c r="I25" s="4"/>
      <c r="J25" s="3"/>
      <c r="K25" s="4"/>
    </row>
    <row r="26" spans="1:11" ht="15">
      <c r="A26" s="20" t="s">
        <v>117</v>
      </c>
      <c r="B26" s="20"/>
      <c r="C26" s="4"/>
      <c r="D26" s="4"/>
      <c r="E26" s="4"/>
      <c r="F26" s="4"/>
      <c r="G26" s="3"/>
      <c r="H26" s="54"/>
      <c r="I26" s="4"/>
      <c r="J26" s="3"/>
      <c r="K26" s="4"/>
    </row>
    <row r="27" spans="1:11" ht="14.25">
      <c r="A27" s="22"/>
      <c r="B27" s="23" t="s">
        <v>118</v>
      </c>
      <c r="C27" s="4"/>
      <c r="D27" s="4"/>
      <c r="E27" s="4"/>
      <c r="F27" s="4"/>
      <c r="G27" s="3"/>
      <c r="H27" s="54"/>
      <c r="I27" s="4"/>
      <c r="J27" s="3"/>
      <c r="K27" s="4"/>
    </row>
    <row r="28" spans="1:11" ht="15">
      <c r="A28" s="24" t="s">
        <v>119</v>
      </c>
      <c r="B28" s="24" t="s">
        <v>120</v>
      </c>
      <c r="C28" s="24" t="s">
        <v>121</v>
      </c>
      <c r="D28" s="24" t="s">
        <v>122</v>
      </c>
      <c r="E28" s="24" t="s">
        <v>931</v>
      </c>
      <c r="F28" s="4"/>
      <c r="G28" s="3"/>
      <c r="H28" s="54"/>
      <c r="I28" s="4"/>
      <c r="J28" s="3"/>
      <c r="K28" s="4"/>
    </row>
    <row r="29" spans="1:11" ht="12.75">
      <c r="A29" s="21" t="s">
        <v>232</v>
      </c>
      <c r="B29" s="4" t="s">
        <v>124</v>
      </c>
      <c r="C29" s="4" t="s">
        <v>65</v>
      </c>
      <c r="D29" s="4" t="s">
        <v>945</v>
      </c>
      <c r="E29" s="25" t="s">
        <v>944</v>
      </c>
      <c r="F29" s="4"/>
      <c r="G29" s="3"/>
      <c r="H29" s="54"/>
      <c r="I29" s="4"/>
      <c r="J29" s="3"/>
      <c r="K29" s="4"/>
    </row>
    <row r="30" spans="1:11" ht="12.75">
      <c r="A30" s="4"/>
      <c r="B30" s="4"/>
      <c r="C30" s="4"/>
      <c r="D30" s="4"/>
      <c r="E30" s="4"/>
      <c r="F30" s="4"/>
      <c r="G30" s="3"/>
      <c r="H30" s="54"/>
      <c r="I30" s="4"/>
      <c r="J30" s="3"/>
      <c r="K30" s="4"/>
    </row>
    <row r="31" spans="1:11" ht="12.75">
      <c r="A31" s="4"/>
      <c r="B31" s="4"/>
      <c r="C31" s="4"/>
      <c r="D31" s="4"/>
      <c r="E31" s="4"/>
      <c r="F31" s="4"/>
      <c r="G31" s="3"/>
      <c r="H31" s="54"/>
      <c r="I31" s="4"/>
      <c r="J31" s="3"/>
      <c r="K31" s="4"/>
    </row>
    <row r="32" spans="1:11" ht="15">
      <c r="A32" s="20" t="s">
        <v>136</v>
      </c>
      <c r="B32" s="20"/>
      <c r="C32" s="4"/>
      <c r="D32" s="4"/>
      <c r="E32" s="4"/>
      <c r="F32" s="4"/>
      <c r="G32" s="3"/>
      <c r="H32" s="54"/>
      <c r="I32" s="4"/>
      <c r="J32" s="3"/>
      <c r="K32" s="4"/>
    </row>
    <row r="33" spans="1:11" ht="14.25">
      <c r="A33" s="22"/>
      <c r="B33" s="23" t="s">
        <v>127</v>
      </c>
      <c r="C33" s="4"/>
      <c r="D33" s="4"/>
      <c r="E33" s="4"/>
      <c r="F33" s="4"/>
      <c r="G33" s="3"/>
      <c r="H33" s="54"/>
      <c r="I33" s="4"/>
      <c r="J33" s="3"/>
      <c r="K33" s="4"/>
    </row>
    <row r="34" spans="1:11" ht="15">
      <c r="A34" s="24" t="s">
        <v>119</v>
      </c>
      <c r="B34" s="24" t="s">
        <v>120</v>
      </c>
      <c r="C34" s="24" t="s">
        <v>121</v>
      </c>
      <c r="D34" s="24" t="s">
        <v>122</v>
      </c>
      <c r="E34" s="24" t="s">
        <v>931</v>
      </c>
      <c r="F34" s="4"/>
      <c r="G34" s="3"/>
      <c r="H34" s="54"/>
      <c r="I34" s="4"/>
      <c r="J34" s="3"/>
      <c r="K34" s="4"/>
    </row>
    <row r="35" spans="1:11" ht="12.75">
      <c r="A35" s="21" t="s">
        <v>943</v>
      </c>
      <c r="B35" s="4" t="s">
        <v>127</v>
      </c>
      <c r="C35" s="4" t="s">
        <v>193</v>
      </c>
      <c r="D35" s="4" t="s">
        <v>942</v>
      </c>
      <c r="E35" s="25" t="s">
        <v>941</v>
      </c>
      <c r="F35" s="4"/>
      <c r="G35" s="3"/>
      <c r="H35" s="54"/>
      <c r="I35" s="4"/>
      <c r="J35" s="3"/>
      <c r="K35" s="4"/>
    </row>
    <row r="36" spans="1:11" ht="12.75">
      <c r="A36" s="21" t="s">
        <v>213</v>
      </c>
      <c r="B36" s="4" t="s">
        <v>127</v>
      </c>
      <c r="C36" s="4" t="s">
        <v>37</v>
      </c>
      <c r="D36" s="4" t="s">
        <v>940</v>
      </c>
      <c r="E36" s="25" t="s">
        <v>939</v>
      </c>
      <c r="F36" s="4"/>
      <c r="G36" s="3"/>
      <c r="H36" s="54"/>
      <c r="I36" s="4"/>
      <c r="J36" s="3"/>
      <c r="K36" s="4"/>
    </row>
    <row r="37" spans="1:11" ht="12.75">
      <c r="A37" s="21" t="s">
        <v>756</v>
      </c>
      <c r="B37" s="4" t="s">
        <v>127</v>
      </c>
      <c r="C37" s="4" t="s">
        <v>40</v>
      </c>
      <c r="D37" s="4" t="s">
        <v>938</v>
      </c>
      <c r="E37" s="25" t="s">
        <v>937</v>
      </c>
      <c r="F37" s="4"/>
      <c r="G37" s="3"/>
      <c r="H37" s="54"/>
      <c r="I37" s="4"/>
      <c r="J37" s="3"/>
      <c r="K37" s="4"/>
    </row>
  </sheetData>
  <sheetProtection/>
  <mergeCells count="15">
    <mergeCell ref="F3:F4"/>
    <mergeCell ref="G3:H3"/>
    <mergeCell ref="I3:I4"/>
    <mergeCell ref="J3:J4"/>
    <mergeCell ref="K3:K4"/>
    <mergeCell ref="A5:J5"/>
    <mergeCell ref="A8:J8"/>
    <mergeCell ref="A11:J11"/>
    <mergeCell ref="A14:J14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11" sqref="F11:F15"/>
    </sheetView>
  </sheetViews>
  <sheetFormatPr defaultColWidth="9.00390625" defaultRowHeight="12.75"/>
  <cols>
    <col min="1" max="1" width="31.875" style="0" bestFit="1" customWidth="1"/>
    <col min="2" max="2" width="28.625" style="0" bestFit="1" customWidth="1"/>
    <col min="3" max="3" width="13.375" style="0" bestFit="1" customWidth="1"/>
    <col min="4" max="4" width="10.75390625" style="0" bestFit="1" customWidth="1"/>
    <col min="5" max="5" width="22.75390625" style="0" bestFit="1" customWidth="1"/>
    <col min="6" max="6" width="30.25390625" style="0" bestFit="1" customWidth="1"/>
    <col min="7" max="7" width="5.625" style="0" bestFit="1" customWidth="1"/>
    <col min="8" max="8" width="10.375" style="0" bestFit="1" customWidth="1"/>
    <col min="9" max="9" width="8.875" style="0" bestFit="1" customWidth="1"/>
    <col min="10" max="10" width="9.625" style="0" bestFit="1" customWidth="1"/>
    <col min="11" max="11" width="8.875" style="0" bestFit="1" customWidth="1"/>
  </cols>
  <sheetData>
    <row r="1" spans="1:11" ht="12.75">
      <c r="A1" s="41" t="s">
        <v>958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96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 s="47" t="s">
        <v>0</v>
      </c>
      <c r="B3" s="49" t="s">
        <v>6</v>
      </c>
      <c r="C3" s="49" t="s">
        <v>7</v>
      </c>
      <c r="D3" s="39" t="s">
        <v>935</v>
      </c>
      <c r="E3" s="39" t="s">
        <v>4</v>
      </c>
      <c r="F3" s="39" t="s">
        <v>8</v>
      </c>
      <c r="G3" s="39" t="s">
        <v>731</v>
      </c>
      <c r="H3" s="39"/>
      <c r="I3" s="39" t="s">
        <v>730</v>
      </c>
      <c r="J3" s="39" t="s">
        <v>3</v>
      </c>
      <c r="K3" s="50" t="s">
        <v>2</v>
      </c>
    </row>
    <row r="4" spans="1:11" ht="15.75" thickBot="1">
      <c r="A4" s="48"/>
      <c r="B4" s="40"/>
      <c r="C4" s="40"/>
      <c r="D4" s="40"/>
      <c r="E4" s="40"/>
      <c r="F4" s="40"/>
      <c r="G4" s="34" t="s">
        <v>729</v>
      </c>
      <c r="H4" s="58" t="s">
        <v>728</v>
      </c>
      <c r="I4" s="40"/>
      <c r="J4" s="40"/>
      <c r="K4" s="51"/>
    </row>
    <row r="5" spans="1:11" ht="15">
      <c r="A5" s="38" t="s">
        <v>368</v>
      </c>
      <c r="B5" s="38"/>
      <c r="C5" s="38"/>
      <c r="D5" s="38"/>
      <c r="E5" s="38"/>
      <c r="F5" s="38"/>
      <c r="G5" s="38"/>
      <c r="H5" s="38"/>
      <c r="I5" s="38"/>
      <c r="J5" s="38"/>
      <c r="K5" s="4"/>
    </row>
    <row r="6" spans="1:11" ht="12.75">
      <c r="A6" s="6" t="s">
        <v>957</v>
      </c>
      <c r="B6" s="6" t="s">
        <v>956</v>
      </c>
      <c r="C6" s="6" t="s">
        <v>955</v>
      </c>
      <c r="D6" s="6" t="str">
        <f>"1,0879"</f>
        <v>1,0879</v>
      </c>
      <c r="E6" s="6" t="s">
        <v>19</v>
      </c>
      <c r="F6" s="6" t="s">
        <v>20</v>
      </c>
      <c r="G6" s="7" t="s">
        <v>24</v>
      </c>
      <c r="H6" s="62" t="s">
        <v>52</v>
      </c>
      <c r="I6" s="6" t="str">
        <f>"1000,0"</f>
        <v>1000,0</v>
      </c>
      <c r="J6" s="7" t="str">
        <f>"1087,9000"</f>
        <v>1087,9000</v>
      </c>
      <c r="K6" s="6" t="s">
        <v>28</v>
      </c>
    </row>
    <row r="7" spans="1:11" ht="12.75">
      <c r="A7" s="4"/>
      <c r="B7" s="4"/>
      <c r="C7" s="4"/>
      <c r="D7" s="4"/>
      <c r="E7" s="4"/>
      <c r="F7" s="4"/>
      <c r="G7" s="3"/>
      <c r="H7" s="54"/>
      <c r="I7" s="4"/>
      <c r="J7" s="3"/>
      <c r="K7" s="4"/>
    </row>
    <row r="8" spans="1:11" ht="15">
      <c r="A8" s="37" t="s">
        <v>261</v>
      </c>
      <c r="B8" s="37"/>
      <c r="C8" s="37"/>
      <c r="D8" s="37"/>
      <c r="E8" s="37"/>
      <c r="F8" s="37"/>
      <c r="G8" s="37"/>
      <c r="H8" s="37"/>
      <c r="I8" s="37"/>
      <c r="J8" s="37"/>
      <c r="K8" s="4"/>
    </row>
    <row r="9" spans="1:11" ht="12.75">
      <c r="A9" s="6" t="s">
        <v>314</v>
      </c>
      <c r="B9" s="6" t="s">
        <v>315</v>
      </c>
      <c r="C9" s="6" t="s">
        <v>316</v>
      </c>
      <c r="D9" s="6" t="str">
        <f>"0,7242"</f>
        <v>0,7242</v>
      </c>
      <c r="E9" s="6" t="s">
        <v>317</v>
      </c>
      <c r="F9" s="6" t="s">
        <v>318</v>
      </c>
      <c r="G9" s="7" t="s">
        <v>53</v>
      </c>
      <c r="H9" s="62" t="s">
        <v>51</v>
      </c>
      <c r="I9" s="6" t="str">
        <f>"3150,0"</f>
        <v>3150,0</v>
      </c>
      <c r="J9" s="7" t="str">
        <f>"2281,2300"</f>
        <v>2281,2300</v>
      </c>
      <c r="K9" s="6" t="s">
        <v>28</v>
      </c>
    </row>
    <row r="10" spans="1:11" ht="12.75">
      <c r="A10" s="4"/>
      <c r="B10" s="4"/>
      <c r="C10" s="4"/>
      <c r="D10" s="4"/>
      <c r="E10" s="4"/>
      <c r="F10" s="4"/>
      <c r="G10" s="3"/>
      <c r="H10" s="54"/>
      <c r="I10" s="4"/>
      <c r="J10" s="3"/>
      <c r="K10" s="4"/>
    </row>
    <row r="11" spans="1:11" ht="15">
      <c r="A11" s="4"/>
      <c r="B11" s="4"/>
      <c r="C11" s="4"/>
      <c r="D11" s="4"/>
      <c r="E11" s="18" t="s">
        <v>112</v>
      </c>
      <c r="F11" s="18" t="s">
        <v>151</v>
      </c>
      <c r="G11" s="3"/>
      <c r="H11" s="54"/>
      <c r="I11" s="4"/>
      <c r="J11" s="3"/>
      <c r="K11" s="4"/>
    </row>
    <row r="12" spans="1:11" ht="15">
      <c r="A12" s="4"/>
      <c r="B12" s="4"/>
      <c r="C12" s="4"/>
      <c r="D12" s="4"/>
      <c r="E12" s="18" t="s">
        <v>113</v>
      </c>
      <c r="F12" s="18" t="s">
        <v>152</v>
      </c>
      <c r="G12" s="3"/>
      <c r="H12" s="54"/>
      <c r="I12" s="4"/>
      <c r="J12" s="3"/>
      <c r="K12" s="4"/>
    </row>
    <row r="13" spans="1:11" ht="15">
      <c r="A13" s="4"/>
      <c r="B13" s="4"/>
      <c r="C13" s="4"/>
      <c r="D13" s="4"/>
      <c r="E13" s="18" t="s">
        <v>114</v>
      </c>
      <c r="F13" s="18" t="s">
        <v>153</v>
      </c>
      <c r="G13" s="3"/>
      <c r="H13" s="54"/>
      <c r="I13" s="4"/>
      <c r="J13" s="3"/>
      <c r="K13" s="4"/>
    </row>
    <row r="14" spans="1:11" ht="15">
      <c r="A14" s="4"/>
      <c r="B14" s="4"/>
      <c r="C14" s="4"/>
      <c r="D14" s="4"/>
      <c r="E14" s="18" t="s">
        <v>115</v>
      </c>
      <c r="F14" s="18" t="s">
        <v>692</v>
      </c>
      <c r="G14" s="3"/>
      <c r="H14" s="54"/>
      <c r="I14" s="4"/>
      <c r="J14" s="3"/>
      <c r="K14" s="4"/>
    </row>
    <row r="15" spans="1:11" ht="15">
      <c r="A15" s="4"/>
      <c r="B15" s="4"/>
      <c r="C15" s="4"/>
      <c r="D15" s="4"/>
      <c r="E15" s="18" t="s">
        <v>115</v>
      </c>
      <c r="F15" s="18" t="s">
        <v>691</v>
      </c>
      <c r="G15" s="3"/>
      <c r="H15" s="54"/>
      <c r="I15" s="4"/>
      <c r="J15" s="3"/>
      <c r="K15" s="4"/>
    </row>
    <row r="16" spans="1:11" ht="15">
      <c r="A16" s="4"/>
      <c r="B16" s="4"/>
      <c r="C16" s="4"/>
      <c r="D16" s="4"/>
      <c r="E16" s="18"/>
      <c r="F16" s="4"/>
      <c r="G16" s="3"/>
      <c r="H16" s="54"/>
      <c r="I16" s="4"/>
      <c r="J16" s="3"/>
      <c r="K16" s="4"/>
    </row>
    <row r="17" spans="1:11" ht="15">
      <c r="A17" s="4"/>
      <c r="B17" s="4"/>
      <c r="C17" s="4"/>
      <c r="D17" s="4"/>
      <c r="E17" s="18"/>
      <c r="F17" s="4"/>
      <c r="G17" s="3"/>
      <c r="H17" s="54"/>
      <c r="I17" s="4"/>
      <c r="J17" s="3"/>
      <c r="K17" s="4"/>
    </row>
    <row r="18" spans="1:11" ht="12.75">
      <c r="A18" s="4"/>
      <c r="B18" s="4"/>
      <c r="C18" s="4"/>
      <c r="D18" s="4"/>
      <c r="E18" s="4"/>
      <c r="F18" s="4"/>
      <c r="G18" s="3"/>
      <c r="H18" s="54"/>
      <c r="I18" s="4"/>
      <c r="J18" s="3"/>
      <c r="K18" s="4"/>
    </row>
    <row r="19" spans="1:11" ht="18">
      <c r="A19" s="19" t="s">
        <v>116</v>
      </c>
      <c r="B19" s="19"/>
      <c r="C19" s="4"/>
      <c r="D19" s="4"/>
      <c r="E19" s="4"/>
      <c r="F19" s="4"/>
      <c r="G19" s="3"/>
      <c r="H19" s="54"/>
      <c r="I19" s="4"/>
      <c r="J19" s="3"/>
      <c r="K19" s="4"/>
    </row>
    <row r="20" spans="1:11" ht="15">
      <c r="A20" s="20" t="s">
        <v>136</v>
      </c>
      <c r="B20" s="20"/>
      <c r="C20" s="4"/>
      <c r="D20" s="4"/>
      <c r="E20" s="4"/>
      <c r="F20" s="4"/>
      <c r="G20" s="3"/>
      <c r="H20" s="54"/>
      <c r="I20" s="4"/>
      <c r="J20" s="3"/>
      <c r="K20" s="4"/>
    </row>
    <row r="21" spans="1:11" ht="14.25">
      <c r="A21" s="22"/>
      <c r="B21" s="23" t="s">
        <v>133</v>
      </c>
      <c r="C21" s="4"/>
      <c r="D21" s="4"/>
      <c r="E21" s="4"/>
      <c r="F21" s="4"/>
      <c r="G21" s="3"/>
      <c r="H21" s="54"/>
      <c r="I21" s="4"/>
      <c r="J21" s="3"/>
      <c r="K21" s="4"/>
    </row>
    <row r="22" spans="1:11" ht="15">
      <c r="A22" s="24" t="s">
        <v>119</v>
      </c>
      <c r="B22" s="24" t="s">
        <v>120</v>
      </c>
      <c r="C22" s="24" t="s">
        <v>121</v>
      </c>
      <c r="D22" s="24" t="s">
        <v>122</v>
      </c>
      <c r="E22" s="24" t="s">
        <v>931</v>
      </c>
      <c r="F22" s="4"/>
      <c r="G22" s="3"/>
      <c r="H22" s="54"/>
      <c r="I22" s="4"/>
      <c r="J22" s="3"/>
      <c r="K22" s="4"/>
    </row>
    <row r="23" spans="1:11" ht="12.75">
      <c r="A23" s="21" t="s">
        <v>362</v>
      </c>
      <c r="B23" s="4" t="s">
        <v>146</v>
      </c>
      <c r="C23" s="4" t="s">
        <v>40</v>
      </c>
      <c r="D23" s="4" t="s">
        <v>930</v>
      </c>
      <c r="E23" s="25" t="s">
        <v>929</v>
      </c>
      <c r="F23" s="4"/>
      <c r="G23" s="3"/>
      <c r="H23" s="54"/>
      <c r="I23" s="4"/>
      <c r="J23" s="3"/>
      <c r="K23" s="4"/>
    </row>
    <row r="24" spans="1:11" ht="12.75">
      <c r="A24" s="4"/>
      <c r="B24" s="4"/>
      <c r="C24" s="4"/>
      <c r="D24" s="4"/>
      <c r="E24" s="4"/>
      <c r="F24" s="4"/>
      <c r="G24" s="3"/>
      <c r="H24" s="54"/>
      <c r="I24" s="4"/>
      <c r="J24" s="3"/>
      <c r="K24" s="4"/>
    </row>
    <row r="25" spans="1:11" ht="12.75">
      <c r="A25" s="4"/>
      <c r="B25" s="4"/>
      <c r="C25" s="4"/>
      <c r="D25" s="4"/>
      <c r="E25" s="4"/>
      <c r="F25" s="4"/>
      <c r="G25" s="3"/>
      <c r="H25" s="54"/>
      <c r="I25" s="4"/>
      <c r="J25" s="3"/>
      <c r="K25" s="4"/>
    </row>
    <row r="26" spans="1:11" ht="12.75">
      <c r="A26" s="4"/>
      <c r="B26" s="4"/>
      <c r="C26" s="4"/>
      <c r="D26" s="4"/>
      <c r="E26" s="4"/>
      <c r="F26" s="4"/>
      <c r="G26" s="3"/>
      <c r="H26" s="54"/>
      <c r="I26" s="4"/>
      <c r="J26" s="3"/>
      <c r="K26" s="4"/>
    </row>
    <row r="27" spans="1:11" ht="12.75">
      <c r="A27" s="4"/>
      <c r="B27" s="4"/>
      <c r="C27" s="4"/>
      <c r="D27" s="4"/>
      <c r="E27" s="4"/>
      <c r="F27" s="4"/>
      <c r="G27" s="3"/>
      <c r="H27" s="54"/>
      <c r="I27" s="4"/>
      <c r="J27" s="3"/>
      <c r="K27" s="4"/>
    </row>
    <row r="28" spans="1:11" ht="18">
      <c r="A28" s="19" t="s">
        <v>658</v>
      </c>
      <c r="B28" s="19"/>
      <c r="C28" s="4"/>
      <c r="D28" s="4"/>
      <c r="E28" s="4"/>
      <c r="F28" s="4"/>
      <c r="G28" s="3"/>
      <c r="H28" s="54"/>
      <c r="I28" s="4"/>
      <c r="J28" s="3"/>
      <c r="K28" s="4"/>
    </row>
    <row r="29" spans="1:11" ht="15">
      <c r="A29" s="24" t="s">
        <v>657</v>
      </c>
      <c r="B29" s="24" t="s">
        <v>656</v>
      </c>
      <c r="C29" s="24" t="s">
        <v>655</v>
      </c>
      <c r="D29" s="4"/>
      <c r="E29" s="4"/>
      <c r="F29" s="4"/>
      <c r="G29" s="3"/>
      <c r="H29" s="54"/>
      <c r="I29" s="4"/>
      <c r="J29" s="3"/>
      <c r="K29" s="4"/>
    </row>
    <row r="30" spans="1:11" ht="12.75">
      <c r="A30" s="4" t="s">
        <v>317</v>
      </c>
      <c r="B30" s="4" t="s">
        <v>771</v>
      </c>
      <c r="C30" s="4" t="s">
        <v>954</v>
      </c>
      <c r="D30" s="4"/>
      <c r="E30" s="4"/>
      <c r="F30" s="4"/>
      <c r="G30" s="3"/>
      <c r="H30" s="54"/>
      <c r="I30" s="4"/>
      <c r="J30" s="3"/>
      <c r="K30" s="4"/>
    </row>
    <row r="31" spans="1:11" ht="12.75">
      <c r="A31" s="4" t="s">
        <v>19</v>
      </c>
      <c r="B31" s="4" t="s">
        <v>771</v>
      </c>
      <c r="C31" s="4" t="s">
        <v>953</v>
      </c>
      <c r="D31" s="4"/>
      <c r="E31" s="4"/>
      <c r="F31" s="4"/>
      <c r="G31" s="3"/>
      <c r="H31" s="54"/>
      <c r="I31" s="4"/>
      <c r="J31" s="3"/>
      <c r="K31" s="4"/>
    </row>
  </sheetData>
  <sheetProtection/>
  <mergeCells count="13">
    <mergeCell ref="G3:H3"/>
    <mergeCell ref="I3:I4"/>
    <mergeCell ref="J3:J4"/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D14" sqref="D14"/>
    </sheetView>
  </sheetViews>
  <sheetFormatPr defaultColWidth="9.25390625" defaultRowHeight="12.75"/>
  <cols>
    <col min="1" max="1" width="26.00390625" style="0" bestFit="1" customWidth="1"/>
    <col min="2" max="2" width="27.75390625" style="0" bestFit="1" customWidth="1"/>
    <col min="3" max="3" width="10.625" style="0" bestFit="1" customWidth="1"/>
    <col min="4" max="4" width="10.75390625" style="0" bestFit="1" customWidth="1"/>
    <col min="5" max="5" width="22.75390625" style="0" bestFit="1" customWidth="1"/>
    <col min="6" max="6" width="33.625" style="0" bestFit="1" customWidth="1"/>
    <col min="7" max="7" width="5.00390625" style="0" bestFit="1" customWidth="1"/>
    <col min="8" max="8" width="10.375" style="0" bestFit="1" customWidth="1"/>
    <col min="9" max="9" width="8.875" style="0" bestFit="1" customWidth="1"/>
    <col min="10" max="10" width="9.625" style="0" bestFit="1" customWidth="1"/>
    <col min="11" max="11" width="8.875" style="0" bestFit="1" customWidth="1"/>
  </cols>
  <sheetData>
    <row r="1" spans="1:11" ht="12.75">
      <c r="A1" s="41" t="s">
        <v>966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 s="47" t="s">
        <v>0</v>
      </c>
      <c r="B3" s="49" t="s">
        <v>6</v>
      </c>
      <c r="C3" s="49" t="s">
        <v>7</v>
      </c>
      <c r="D3" s="39" t="s">
        <v>935</v>
      </c>
      <c r="E3" s="39" t="s">
        <v>4</v>
      </c>
      <c r="F3" s="39" t="s">
        <v>8</v>
      </c>
      <c r="G3" s="39" t="s">
        <v>731</v>
      </c>
      <c r="H3" s="39"/>
      <c r="I3" s="39" t="s">
        <v>730</v>
      </c>
      <c r="J3" s="39" t="s">
        <v>3</v>
      </c>
      <c r="K3" s="50" t="s">
        <v>2</v>
      </c>
    </row>
    <row r="4" spans="1:11" ht="15.75" thickBot="1">
      <c r="A4" s="48"/>
      <c r="B4" s="40"/>
      <c r="C4" s="40"/>
      <c r="D4" s="40"/>
      <c r="E4" s="40"/>
      <c r="F4" s="40"/>
      <c r="G4" s="34" t="s">
        <v>729</v>
      </c>
      <c r="H4" s="58" t="s">
        <v>728</v>
      </c>
      <c r="I4" s="40"/>
      <c r="J4" s="40"/>
      <c r="K4" s="51"/>
    </row>
    <row r="5" spans="1:11" ht="15">
      <c r="A5" s="38" t="s">
        <v>79</v>
      </c>
      <c r="B5" s="38"/>
      <c r="C5" s="38"/>
      <c r="D5" s="38"/>
      <c r="E5" s="38"/>
      <c r="F5" s="38"/>
      <c r="G5" s="38"/>
      <c r="H5" s="38"/>
      <c r="I5" s="38"/>
      <c r="J5" s="38"/>
      <c r="K5" s="4"/>
    </row>
    <row r="6" spans="1:11" ht="12.75">
      <c r="A6" s="6" t="s">
        <v>390</v>
      </c>
      <c r="B6" s="6" t="s">
        <v>391</v>
      </c>
      <c r="C6" s="6" t="s">
        <v>220</v>
      </c>
      <c r="D6" s="6" t="str">
        <f>"0,7987"</f>
        <v>0,7987</v>
      </c>
      <c r="E6" s="6" t="s">
        <v>93</v>
      </c>
      <c r="F6" s="6" t="s">
        <v>94</v>
      </c>
      <c r="G6" s="7" t="s">
        <v>65</v>
      </c>
      <c r="H6" s="62" t="s">
        <v>767</v>
      </c>
      <c r="I6" s="6" t="str">
        <f>"2025,0"</f>
        <v>2025,0</v>
      </c>
      <c r="J6" s="7" t="str">
        <f>"1617,3674"</f>
        <v>1617,3674</v>
      </c>
      <c r="K6" s="6" t="s">
        <v>28</v>
      </c>
    </row>
    <row r="7" spans="1:11" ht="12.75">
      <c r="A7" s="4"/>
      <c r="B7" s="4"/>
      <c r="C7" s="4"/>
      <c r="D7" s="4"/>
      <c r="E7" s="4"/>
      <c r="F7" s="4"/>
      <c r="G7" s="3"/>
      <c r="H7" s="54"/>
      <c r="I7" s="4"/>
      <c r="J7" s="3"/>
      <c r="K7" s="4"/>
    </row>
    <row r="8" spans="1:11" ht="15">
      <c r="A8" s="37" t="s">
        <v>261</v>
      </c>
      <c r="B8" s="37"/>
      <c r="C8" s="37"/>
      <c r="D8" s="37"/>
      <c r="E8" s="37"/>
      <c r="F8" s="37"/>
      <c r="G8" s="37"/>
      <c r="H8" s="37"/>
      <c r="I8" s="37"/>
      <c r="J8" s="37"/>
      <c r="K8" s="4"/>
    </row>
    <row r="9" spans="1:11" ht="12.75">
      <c r="A9" s="6" t="s">
        <v>726</v>
      </c>
      <c r="B9" s="6" t="s">
        <v>837</v>
      </c>
      <c r="C9" s="6" t="s">
        <v>724</v>
      </c>
      <c r="D9" s="6" t="str">
        <f>"0,7283"</f>
        <v>0,7283</v>
      </c>
      <c r="E9" s="6" t="s">
        <v>93</v>
      </c>
      <c r="F9" s="6" t="s">
        <v>94</v>
      </c>
      <c r="G9" s="7" t="s">
        <v>40</v>
      </c>
      <c r="H9" s="62" t="s">
        <v>965</v>
      </c>
      <c r="I9" s="6" t="str">
        <f>"1800,0"</f>
        <v>1800,0</v>
      </c>
      <c r="J9" s="7" t="str">
        <f>"1310,9400"</f>
        <v>1310,9400</v>
      </c>
      <c r="K9" s="6" t="s">
        <v>28</v>
      </c>
    </row>
    <row r="10" spans="1:11" ht="12.75">
      <c r="A10" s="4"/>
      <c r="B10" s="4"/>
      <c r="C10" s="4"/>
      <c r="D10" s="4"/>
      <c r="E10" s="4"/>
      <c r="F10" s="4"/>
      <c r="G10" s="3"/>
      <c r="H10" s="54"/>
      <c r="I10" s="4"/>
      <c r="J10" s="3"/>
      <c r="K10" s="4"/>
    </row>
    <row r="11" spans="1:11" ht="15">
      <c r="A11" s="37" t="s">
        <v>100</v>
      </c>
      <c r="B11" s="37"/>
      <c r="C11" s="37"/>
      <c r="D11" s="37"/>
      <c r="E11" s="37"/>
      <c r="F11" s="37"/>
      <c r="G11" s="37"/>
      <c r="H11" s="37"/>
      <c r="I11" s="37"/>
      <c r="J11" s="37"/>
      <c r="K11" s="4"/>
    </row>
    <row r="12" spans="1:11" ht="12.75">
      <c r="A12" s="6" t="s">
        <v>964</v>
      </c>
      <c r="B12" s="6" t="s">
        <v>453</v>
      </c>
      <c r="C12" s="6" t="s">
        <v>454</v>
      </c>
      <c r="D12" s="6" t="str">
        <f>"0,7048"</f>
        <v>0,7048</v>
      </c>
      <c r="E12" s="6" t="s">
        <v>47</v>
      </c>
      <c r="F12" s="6" t="s">
        <v>48</v>
      </c>
      <c r="G12" s="7" t="s">
        <v>41</v>
      </c>
      <c r="H12" s="62" t="s">
        <v>759</v>
      </c>
      <c r="I12" s="6" t="str">
        <f>"1805,0"</f>
        <v>1805,0</v>
      </c>
      <c r="J12" s="7" t="str">
        <f>"1272,1640"</f>
        <v>1272,1640</v>
      </c>
      <c r="K12" s="6" t="s">
        <v>28</v>
      </c>
    </row>
    <row r="13" spans="1:11" ht="12.75">
      <c r="A13" s="4"/>
      <c r="B13" s="4"/>
      <c r="C13" s="4"/>
      <c r="D13" s="4"/>
      <c r="E13" s="4"/>
      <c r="F13" s="4"/>
      <c r="G13" s="3"/>
      <c r="H13" s="54"/>
      <c r="I13" s="4"/>
      <c r="J13" s="3"/>
      <c r="K13" s="4"/>
    </row>
    <row r="14" spans="1:11" ht="15">
      <c r="A14" s="4"/>
      <c r="B14" s="4"/>
      <c r="C14" s="4"/>
      <c r="D14" s="4"/>
      <c r="E14" s="18" t="s">
        <v>112</v>
      </c>
      <c r="F14" s="18" t="s">
        <v>151</v>
      </c>
      <c r="G14" s="3"/>
      <c r="H14" s="54"/>
      <c r="I14" s="4"/>
      <c r="J14" s="3"/>
      <c r="K14" s="4"/>
    </row>
    <row r="15" spans="1:11" ht="15">
      <c r="A15" s="4"/>
      <c r="B15" s="4"/>
      <c r="C15" s="4"/>
      <c r="D15" s="4"/>
      <c r="E15" s="18" t="s">
        <v>113</v>
      </c>
      <c r="F15" s="18" t="s">
        <v>152</v>
      </c>
      <c r="G15" s="3"/>
      <c r="H15" s="54"/>
      <c r="I15" s="4"/>
      <c r="J15" s="3"/>
      <c r="K15" s="4"/>
    </row>
    <row r="16" spans="1:11" ht="15">
      <c r="A16" s="4"/>
      <c r="B16" s="4"/>
      <c r="C16" s="4"/>
      <c r="D16" s="4"/>
      <c r="E16" s="18" t="s">
        <v>114</v>
      </c>
      <c r="F16" s="18" t="s">
        <v>153</v>
      </c>
      <c r="G16" s="3"/>
      <c r="H16" s="54"/>
      <c r="I16" s="4"/>
      <c r="J16" s="3"/>
      <c r="K16" s="4"/>
    </row>
    <row r="17" spans="1:11" ht="15">
      <c r="A17" s="4"/>
      <c r="B17" s="4"/>
      <c r="C17" s="4"/>
      <c r="D17" s="4"/>
      <c r="E17" s="18" t="s">
        <v>115</v>
      </c>
      <c r="F17" s="18" t="s">
        <v>692</v>
      </c>
      <c r="G17" s="3"/>
      <c r="H17" s="54"/>
      <c r="I17" s="4"/>
      <c r="J17" s="3"/>
      <c r="K17" s="4"/>
    </row>
    <row r="18" spans="1:11" ht="15">
      <c r="A18" s="4"/>
      <c r="B18" s="4"/>
      <c r="C18" s="4"/>
      <c r="D18" s="4"/>
      <c r="E18" s="18" t="s">
        <v>115</v>
      </c>
      <c r="F18" s="18" t="s">
        <v>691</v>
      </c>
      <c r="G18" s="3"/>
      <c r="H18" s="54"/>
      <c r="I18" s="4"/>
      <c r="J18" s="3"/>
      <c r="K18" s="4"/>
    </row>
    <row r="19" spans="1:11" ht="15">
      <c r="A19" s="4"/>
      <c r="B19" s="4"/>
      <c r="C19" s="4"/>
      <c r="D19" s="4"/>
      <c r="E19" s="18"/>
      <c r="F19" s="4"/>
      <c r="G19" s="3"/>
      <c r="H19" s="54"/>
      <c r="I19" s="4"/>
      <c r="J19" s="3"/>
      <c r="K19" s="4"/>
    </row>
    <row r="20" spans="1:11" ht="15">
      <c r="A20" s="4"/>
      <c r="B20" s="4"/>
      <c r="C20" s="4"/>
      <c r="D20" s="4"/>
      <c r="E20" s="18"/>
      <c r="F20" s="4"/>
      <c r="G20" s="3"/>
      <c r="H20" s="54"/>
      <c r="I20" s="4"/>
      <c r="J20" s="3"/>
      <c r="K20" s="4"/>
    </row>
    <row r="21" spans="1:11" ht="12.75">
      <c r="A21" s="4"/>
      <c r="B21" s="4"/>
      <c r="C21" s="4"/>
      <c r="D21" s="4"/>
      <c r="E21" s="4"/>
      <c r="F21" s="4"/>
      <c r="G21" s="3"/>
      <c r="H21" s="54"/>
      <c r="I21" s="4"/>
      <c r="J21" s="3"/>
      <c r="K21" s="4"/>
    </row>
    <row r="22" spans="1:11" ht="18">
      <c r="A22" s="19" t="s">
        <v>116</v>
      </c>
      <c r="B22" s="19"/>
      <c r="C22" s="4"/>
      <c r="D22" s="4"/>
      <c r="E22" s="4"/>
      <c r="F22" s="4"/>
      <c r="G22" s="3"/>
      <c r="H22" s="54"/>
      <c r="I22" s="4"/>
      <c r="J22" s="3"/>
      <c r="K22" s="4"/>
    </row>
    <row r="23" spans="1:11" ht="15">
      <c r="A23" s="20" t="s">
        <v>136</v>
      </c>
      <c r="B23" s="20"/>
      <c r="C23" s="4"/>
      <c r="D23" s="4"/>
      <c r="E23" s="4"/>
      <c r="F23" s="4"/>
      <c r="G23" s="3"/>
      <c r="H23" s="54"/>
      <c r="I23" s="4"/>
      <c r="J23" s="3"/>
      <c r="K23" s="4"/>
    </row>
    <row r="24" spans="1:11" ht="14.25">
      <c r="A24" s="22"/>
      <c r="B24" s="23" t="s">
        <v>137</v>
      </c>
      <c r="C24" s="4"/>
      <c r="D24" s="4"/>
      <c r="E24" s="4"/>
      <c r="F24" s="4"/>
      <c r="G24" s="3"/>
      <c r="H24" s="54"/>
      <c r="I24" s="4"/>
      <c r="J24" s="3"/>
      <c r="K24" s="4"/>
    </row>
    <row r="25" spans="1:11" ht="15">
      <c r="A25" s="24" t="s">
        <v>119</v>
      </c>
      <c r="B25" s="24" t="s">
        <v>120</v>
      </c>
      <c r="C25" s="24" t="s">
        <v>121</v>
      </c>
      <c r="D25" s="24" t="s">
        <v>122</v>
      </c>
      <c r="E25" s="24" t="s">
        <v>931</v>
      </c>
      <c r="F25" s="4"/>
      <c r="G25" s="3"/>
      <c r="H25" s="54"/>
      <c r="I25" s="4"/>
      <c r="J25" s="3"/>
      <c r="K25" s="4"/>
    </row>
    <row r="26" spans="1:11" ht="12.75">
      <c r="A26" s="21" t="s">
        <v>482</v>
      </c>
      <c r="B26" s="4" t="s">
        <v>350</v>
      </c>
      <c r="C26" s="4" t="s">
        <v>65</v>
      </c>
      <c r="D26" s="4" t="s">
        <v>765</v>
      </c>
      <c r="E26" s="25" t="s">
        <v>963</v>
      </c>
      <c r="F26" s="4"/>
      <c r="G26" s="3"/>
      <c r="H26" s="54"/>
      <c r="I26" s="4"/>
      <c r="J26" s="3"/>
      <c r="K26" s="4"/>
    </row>
    <row r="27" spans="1:11" ht="12.75">
      <c r="A27" s="21" t="s">
        <v>690</v>
      </c>
      <c r="B27" s="4" t="s">
        <v>350</v>
      </c>
      <c r="C27" s="4" t="s">
        <v>40</v>
      </c>
      <c r="D27" s="4" t="s">
        <v>962</v>
      </c>
      <c r="E27" s="25" t="s">
        <v>961</v>
      </c>
      <c r="F27" s="4"/>
      <c r="G27" s="3"/>
      <c r="H27" s="54"/>
      <c r="I27" s="4"/>
      <c r="J27" s="3"/>
      <c r="K27" s="4"/>
    </row>
    <row r="28" spans="1:11" ht="12.75">
      <c r="A28" s="4"/>
      <c r="B28" s="4"/>
      <c r="C28" s="4"/>
      <c r="D28" s="4"/>
      <c r="E28" s="4"/>
      <c r="F28" s="4"/>
      <c r="G28" s="3"/>
      <c r="H28" s="54"/>
      <c r="I28" s="4"/>
      <c r="J28" s="3"/>
      <c r="K28" s="4"/>
    </row>
    <row r="29" spans="1:11" ht="14.25">
      <c r="A29" s="22"/>
      <c r="B29" s="23" t="s">
        <v>127</v>
      </c>
      <c r="C29" s="4"/>
      <c r="D29" s="4"/>
      <c r="E29" s="4"/>
      <c r="F29" s="4"/>
      <c r="G29" s="3"/>
      <c r="H29" s="54"/>
      <c r="I29" s="4"/>
      <c r="J29" s="3"/>
      <c r="K29" s="4"/>
    </row>
    <row r="30" spans="1:11" ht="15">
      <c r="A30" s="24" t="s">
        <v>119</v>
      </c>
      <c r="B30" s="24" t="s">
        <v>120</v>
      </c>
      <c r="C30" s="24" t="s">
        <v>121</v>
      </c>
      <c r="D30" s="24" t="s">
        <v>122</v>
      </c>
      <c r="E30" s="24" t="s">
        <v>931</v>
      </c>
      <c r="F30" s="4"/>
      <c r="G30" s="3"/>
      <c r="H30" s="54"/>
      <c r="I30" s="4"/>
      <c r="J30" s="3"/>
      <c r="K30" s="4"/>
    </row>
    <row r="31" spans="1:11" ht="12.75">
      <c r="A31" s="21" t="s">
        <v>517</v>
      </c>
      <c r="B31" s="4" t="s">
        <v>127</v>
      </c>
      <c r="C31" s="4" t="s">
        <v>37</v>
      </c>
      <c r="D31" s="4" t="s">
        <v>960</v>
      </c>
      <c r="E31" s="25" t="s">
        <v>959</v>
      </c>
      <c r="F31" s="4"/>
      <c r="G31" s="3"/>
      <c r="H31" s="54"/>
      <c r="I31" s="4"/>
      <c r="J31" s="3"/>
      <c r="K31" s="4"/>
    </row>
  </sheetData>
  <sheetProtection/>
  <mergeCells count="14">
    <mergeCell ref="F3:F4"/>
    <mergeCell ref="G3:H3"/>
    <mergeCell ref="I3:I4"/>
    <mergeCell ref="J3:J4"/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3" sqref="H3:H4"/>
    </sheetView>
  </sheetViews>
  <sheetFormatPr defaultColWidth="9.00390625" defaultRowHeight="12.75"/>
  <cols>
    <col min="1" max="1" width="19.875" style="0" bestFit="1" customWidth="1"/>
    <col min="2" max="2" width="27.75390625" style="0" bestFit="1" customWidth="1"/>
    <col min="3" max="3" width="8.375" style="0" bestFit="1" customWidth="1"/>
    <col min="4" max="4" width="22.75390625" style="0" bestFit="1" customWidth="1"/>
    <col min="5" max="5" width="33.625" style="0" bestFit="1" customWidth="1"/>
    <col min="6" max="6" width="5.00390625" style="0" bestFit="1" customWidth="1"/>
    <col min="7" max="7" width="10.375" style="0" bestFit="1" customWidth="1"/>
    <col min="8" max="8" width="13.625" style="0" bestFit="1" customWidth="1"/>
    <col min="9" max="9" width="8.875" style="0" bestFit="1" customWidth="1"/>
  </cols>
  <sheetData>
    <row r="1" spans="1:9" ht="12.75">
      <c r="A1" s="41" t="s">
        <v>978</v>
      </c>
      <c r="B1" s="42"/>
      <c r="C1" s="42"/>
      <c r="D1" s="42"/>
      <c r="E1" s="42"/>
      <c r="F1" s="42"/>
      <c r="G1" s="42"/>
      <c r="H1" s="42"/>
      <c r="I1" s="43"/>
    </row>
    <row r="2" spans="1:9" ht="106.5" customHeight="1" thickBot="1">
      <c r="A2" s="44"/>
      <c r="B2" s="45"/>
      <c r="C2" s="45"/>
      <c r="D2" s="45"/>
      <c r="E2" s="45"/>
      <c r="F2" s="45"/>
      <c r="G2" s="45"/>
      <c r="H2" s="45"/>
      <c r="I2" s="46"/>
    </row>
    <row r="3" spans="1:9" ht="15">
      <c r="A3" s="47" t="s">
        <v>0</v>
      </c>
      <c r="B3" s="49" t="s">
        <v>6</v>
      </c>
      <c r="C3" s="49" t="s">
        <v>7</v>
      </c>
      <c r="D3" s="39" t="s">
        <v>4</v>
      </c>
      <c r="E3" s="39" t="s">
        <v>8</v>
      </c>
      <c r="F3" s="39" t="s">
        <v>977</v>
      </c>
      <c r="G3" s="39"/>
      <c r="H3" s="39" t="s">
        <v>730</v>
      </c>
      <c r="I3" s="50" t="s">
        <v>2</v>
      </c>
    </row>
    <row r="4" spans="1:9" ht="15.75" thickBot="1">
      <c r="A4" s="48"/>
      <c r="B4" s="40"/>
      <c r="C4" s="40"/>
      <c r="D4" s="40"/>
      <c r="E4" s="40"/>
      <c r="F4" s="34" t="s">
        <v>729</v>
      </c>
      <c r="G4" s="58" t="s">
        <v>728</v>
      </c>
      <c r="H4" s="40"/>
      <c r="I4" s="51"/>
    </row>
    <row r="5" spans="1:9" ht="15">
      <c r="A5" s="38" t="s">
        <v>79</v>
      </c>
      <c r="B5" s="38"/>
      <c r="C5" s="38"/>
      <c r="D5" s="38"/>
      <c r="E5" s="38"/>
      <c r="F5" s="38"/>
      <c r="G5" s="38"/>
      <c r="H5" s="38"/>
      <c r="I5" s="4"/>
    </row>
    <row r="6" spans="1:9" ht="12.75">
      <c r="A6" s="28" t="s">
        <v>563</v>
      </c>
      <c r="B6" s="28" t="s">
        <v>972</v>
      </c>
      <c r="C6" s="28" t="s">
        <v>976</v>
      </c>
      <c r="D6" s="28" t="s">
        <v>975</v>
      </c>
      <c r="E6" s="28" t="s">
        <v>974</v>
      </c>
      <c r="F6" s="7" t="s">
        <v>65</v>
      </c>
      <c r="G6" s="62">
        <v>45</v>
      </c>
      <c r="H6" s="88">
        <v>3375</v>
      </c>
      <c r="I6" s="6" t="s">
        <v>28</v>
      </c>
    </row>
    <row r="7" spans="1:9" ht="15">
      <c r="A7" s="37" t="s">
        <v>973</v>
      </c>
      <c r="B7" s="37"/>
      <c r="C7" s="37"/>
      <c r="D7" s="37"/>
      <c r="E7" s="37"/>
      <c r="F7" s="37"/>
      <c r="G7" s="37"/>
      <c r="H7" s="37"/>
      <c r="I7" s="4"/>
    </row>
    <row r="8" spans="1:9" ht="12.75">
      <c r="A8" s="28" t="s">
        <v>560</v>
      </c>
      <c r="B8" s="28" t="s">
        <v>972</v>
      </c>
      <c r="C8" s="28" t="s">
        <v>971</v>
      </c>
      <c r="D8" s="28" t="s">
        <v>970</v>
      </c>
      <c r="E8" s="28" t="s">
        <v>969</v>
      </c>
      <c r="F8" s="70" t="s">
        <v>968</v>
      </c>
      <c r="G8" s="62">
        <v>52</v>
      </c>
      <c r="H8" s="28" t="s">
        <v>967</v>
      </c>
      <c r="I8" s="6" t="s">
        <v>28</v>
      </c>
    </row>
    <row r="9" spans="1:9" ht="12.75">
      <c r="A9" s="4"/>
      <c r="B9" s="4"/>
      <c r="C9" s="4"/>
      <c r="D9" s="4"/>
      <c r="E9" s="4"/>
      <c r="F9" s="3"/>
      <c r="G9" s="54"/>
      <c r="H9" s="4"/>
      <c r="I9" s="4"/>
    </row>
    <row r="10" spans="1:9" ht="15">
      <c r="A10" s="4"/>
      <c r="B10" s="4"/>
      <c r="C10" s="4"/>
      <c r="D10" s="18" t="s">
        <v>112</v>
      </c>
      <c r="E10" s="18" t="s">
        <v>151</v>
      </c>
      <c r="F10" s="3"/>
      <c r="G10" s="54"/>
      <c r="H10" s="4"/>
      <c r="I10" s="4"/>
    </row>
    <row r="11" spans="1:9" ht="15">
      <c r="A11" s="4"/>
      <c r="B11" s="4"/>
      <c r="C11" s="4"/>
      <c r="D11" s="18" t="s">
        <v>113</v>
      </c>
      <c r="E11" s="18" t="s">
        <v>152</v>
      </c>
      <c r="F11" s="3"/>
      <c r="G11" s="54"/>
      <c r="H11" s="4"/>
      <c r="I11" s="4"/>
    </row>
    <row r="12" spans="1:9" ht="15">
      <c r="A12" s="4"/>
      <c r="B12" s="4"/>
      <c r="C12" s="4"/>
      <c r="D12" s="18" t="s">
        <v>114</v>
      </c>
      <c r="E12" s="18" t="s">
        <v>153</v>
      </c>
      <c r="F12" s="3"/>
      <c r="G12" s="54"/>
      <c r="H12" s="4"/>
      <c r="I12" s="4"/>
    </row>
    <row r="13" spans="1:9" ht="15">
      <c r="A13" s="4"/>
      <c r="B13" s="4"/>
      <c r="C13" s="4"/>
      <c r="D13" s="18" t="s">
        <v>115</v>
      </c>
      <c r="E13" s="18" t="s">
        <v>692</v>
      </c>
      <c r="F13" s="3"/>
      <c r="G13" s="54"/>
      <c r="H13" s="4"/>
      <c r="I13" s="4"/>
    </row>
    <row r="14" spans="1:9" ht="15">
      <c r="A14" s="4"/>
      <c r="B14" s="4"/>
      <c r="C14" s="4"/>
      <c r="D14" s="18" t="s">
        <v>115</v>
      </c>
      <c r="E14" s="18" t="s">
        <v>691</v>
      </c>
      <c r="F14" s="3"/>
      <c r="G14" s="54"/>
      <c r="H14" s="4"/>
      <c r="I14" s="4"/>
    </row>
  </sheetData>
  <sheetProtection/>
  <mergeCells count="11">
    <mergeCell ref="H3:H4"/>
    <mergeCell ref="I3:I4"/>
    <mergeCell ref="A5:H5"/>
    <mergeCell ref="A7:H7"/>
    <mergeCell ref="A1:I2"/>
    <mergeCell ref="A3:A4"/>
    <mergeCell ref="B3:B4"/>
    <mergeCell ref="C3:C4"/>
    <mergeCell ref="D3:D4"/>
    <mergeCell ref="E3:E4"/>
    <mergeCell ref="F3:G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5.875" style="0" bestFit="1" customWidth="1"/>
    <col min="2" max="2" width="26.25390625" style="0" bestFit="1" customWidth="1"/>
    <col min="3" max="3" width="8.375" style="0" bestFit="1" customWidth="1"/>
    <col min="4" max="4" width="22.75390625" style="0" bestFit="1" customWidth="1"/>
    <col min="5" max="5" width="22.25390625" style="0" bestFit="1" customWidth="1"/>
    <col min="6" max="6" width="5.00390625" style="0" bestFit="1" customWidth="1"/>
    <col min="7" max="7" width="10.375" style="0" bestFit="1" customWidth="1"/>
    <col min="8" max="9" width="8.875" style="0" bestFit="1" customWidth="1"/>
    <col min="10" max="10" width="9.625" style="0" bestFit="1" customWidth="1"/>
    <col min="11" max="11" width="8.875" style="0" bestFit="1" customWidth="1"/>
  </cols>
  <sheetData>
    <row r="1" spans="1:9" ht="12.75">
      <c r="A1" s="41" t="s">
        <v>982</v>
      </c>
      <c r="B1" s="42"/>
      <c r="C1" s="42"/>
      <c r="D1" s="42"/>
      <c r="E1" s="42"/>
      <c r="F1" s="42"/>
      <c r="G1" s="42"/>
      <c r="H1" s="42"/>
      <c r="I1" s="43"/>
    </row>
    <row r="2" spans="1:9" ht="106.5" customHeight="1" thickBot="1">
      <c r="A2" s="44"/>
      <c r="B2" s="45"/>
      <c r="C2" s="45"/>
      <c r="D2" s="45"/>
      <c r="E2" s="45"/>
      <c r="F2" s="45"/>
      <c r="G2" s="45"/>
      <c r="H2" s="45"/>
      <c r="I2" s="46"/>
    </row>
    <row r="3" spans="1:9" ht="15">
      <c r="A3" s="47" t="s">
        <v>0</v>
      </c>
      <c r="B3" s="49" t="s">
        <v>6</v>
      </c>
      <c r="C3" s="49" t="s">
        <v>7</v>
      </c>
      <c r="D3" s="39" t="s">
        <v>4</v>
      </c>
      <c r="E3" s="39" t="s">
        <v>8</v>
      </c>
      <c r="F3" s="39" t="s">
        <v>981</v>
      </c>
      <c r="G3" s="39"/>
      <c r="H3" s="39" t="s">
        <v>730</v>
      </c>
      <c r="I3" s="50" t="s">
        <v>2</v>
      </c>
    </row>
    <row r="4" spans="1:9" ht="15.75" thickBot="1">
      <c r="A4" s="48"/>
      <c r="B4" s="40"/>
      <c r="C4" s="40"/>
      <c r="D4" s="40"/>
      <c r="E4" s="40"/>
      <c r="F4" s="34" t="s">
        <v>729</v>
      </c>
      <c r="G4" s="58" t="s">
        <v>728</v>
      </c>
      <c r="H4" s="40"/>
      <c r="I4" s="51"/>
    </row>
    <row r="5" spans="1:9" ht="15">
      <c r="A5" s="37" t="s">
        <v>973</v>
      </c>
      <c r="B5" s="37"/>
      <c r="C5" s="37"/>
      <c r="D5" s="37"/>
      <c r="E5" s="37"/>
      <c r="F5" s="37"/>
      <c r="G5" s="37"/>
      <c r="H5" s="37"/>
      <c r="I5" s="4"/>
    </row>
    <row r="6" spans="1:9" ht="12.75">
      <c r="A6" s="28" t="s">
        <v>560</v>
      </c>
      <c r="B6" s="28" t="s">
        <v>972</v>
      </c>
      <c r="C6" s="28" t="s">
        <v>971</v>
      </c>
      <c r="D6" s="28" t="s">
        <v>970</v>
      </c>
      <c r="E6" s="28" t="s">
        <v>969</v>
      </c>
      <c r="F6" s="70" t="s">
        <v>980</v>
      </c>
      <c r="G6" s="62">
        <v>33</v>
      </c>
      <c r="H6" s="28" t="s">
        <v>979</v>
      </c>
      <c r="I6" s="6" t="s">
        <v>28</v>
      </c>
    </row>
    <row r="7" spans="1:9" ht="12.75">
      <c r="A7" s="4"/>
      <c r="B7" s="4"/>
      <c r="C7" s="4"/>
      <c r="D7" s="4"/>
      <c r="E7" s="4"/>
      <c r="F7" s="3"/>
      <c r="G7" s="54"/>
      <c r="H7" s="4"/>
      <c r="I7" s="4"/>
    </row>
    <row r="8" spans="1:9" ht="15">
      <c r="A8" s="4"/>
      <c r="B8" s="4"/>
      <c r="C8" s="4"/>
      <c r="D8" s="18" t="s">
        <v>112</v>
      </c>
      <c r="E8" s="18" t="s">
        <v>151</v>
      </c>
      <c r="F8" s="3"/>
      <c r="G8" s="54"/>
      <c r="H8" s="4"/>
      <c r="I8" s="4"/>
    </row>
    <row r="9" spans="1:9" ht="15">
      <c r="A9" s="4"/>
      <c r="B9" s="4"/>
      <c r="C9" s="4"/>
      <c r="D9" s="18" t="s">
        <v>113</v>
      </c>
      <c r="E9" s="18" t="s">
        <v>152</v>
      </c>
      <c r="F9" s="3"/>
      <c r="G9" s="54"/>
      <c r="H9" s="4"/>
      <c r="I9" s="4"/>
    </row>
    <row r="10" spans="1:9" ht="15">
      <c r="A10" s="4"/>
      <c r="B10" s="4"/>
      <c r="C10" s="4"/>
      <c r="D10" s="18" t="s">
        <v>114</v>
      </c>
      <c r="E10" s="18" t="s">
        <v>153</v>
      </c>
      <c r="F10" s="3"/>
      <c r="G10" s="54"/>
      <c r="H10" s="4"/>
      <c r="I10" s="4"/>
    </row>
    <row r="11" spans="1:9" ht="15">
      <c r="A11" s="4"/>
      <c r="B11" s="4"/>
      <c r="C11" s="4"/>
      <c r="D11" s="18" t="s">
        <v>115</v>
      </c>
      <c r="E11" s="18" t="s">
        <v>692</v>
      </c>
      <c r="F11" s="3"/>
      <c r="G11" s="54"/>
      <c r="H11" s="4"/>
      <c r="I11" s="4"/>
    </row>
    <row r="12" spans="1:9" ht="15">
      <c r="A12" s="4"/>
      <c r="B12" s="4"/>
      <c r="C12" s="4"/>
      <c r="D12" s="18" t="s">
        <v>115</v>
      </c>
      <c r="E12" s="18" t="s">
        <v>691</v>
      </c>
      <c r="F12" s="3"/>
      <c r="G12" s="54"/>
      <c r="H12" s="4"/>
      <c r="I12" s="4"/>
    </row>
  </sheetData>
  <sheetProtection/>
  <mergeCells count="10">
    <mergeCell ref="A1:I2"/>
    <mergeCell ref="F3:G3"/>
    <mergeCell ref="H3:H4"/>
    <mergeCell ref="A5:H5"/>
    <mergeCell ref="A3:A4"/>
    <mergeCell ref="B3:B4"/>
    <mergeCell ref="C3:C4"/>
    <mergeCell ref="D3:D4"/>
    <mergeCell ref="E3:E4"/>
    <mergeCell ref="I3:I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14" sqref="E14:E15"/>
    </sheetView>
  </sheetViews>
  <sheetFormatPr defaultColWidth="9.00390625" defaultRowHeight="12.75"/>
  <cols>
    <col min="1" max="1" width="19.875" style="0" bestFit="1" customWidth="1"/>
    <col min="2" max="2" width="27.75390625" style="0" bestFit="1" customWidth="1"/>
    <col min="3" max="3" width="8.375" style="0" bestFit="1" customWidth="1"/>
    <col min="4" max="4" width="22.75390625" style="0" bestFit="1" customWidth="1"/>
    <col min="5" max="5" width="33.625" style="0" bestFit="1" customWidth="1"/>
    <col min="6" max="6" width="5.00390625" style="0" bestFit="1" customWidth="1"/>
    <col min="7" max="7" width="10.375" style="0" bestFit="1" customWidth="1"/>
    <col min="8" max="8" width="8.875" style="0" bestFit="1" customWidth="1"/>
    <col min="9" max="9" width="12.75390625" style="0" bestFit="1" customWidth="1"/>
    <col min="10" max="10" width="17.25390625" style="0" bestFit="1" customWidth="1"/>
    <col min="11" max="11" width="11.25390625" style="0" bestFit="1" customWidth="1"/>
  </cols>
  <sheetData>
    <row r="1" spans="1:11" ht="12.75">
      <c r="A1" s="41" t="s">
        <v>993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01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 s="47" t="s">
        <v>0</v>
      </c>
      <c r="B3" s="49" t="s">
        <v>6</v>
      </c>
      <c r="C3" s="49" t="s">
        <v>7</v>
      </c>
      <c r="D3" s="39" t="s">
        <v>4</v>
      </c>
      <c r="E3" s="39" t="s">
        <v>8</v>
      </c>
      <c r="F3" s="39" t="s">
        <v>992</v>
      </c>
      <c r="G3" s="39"/>
      <c r="H3" s="39"/>
      <c r="I3" s="91" t="s">
        <v>991</v>
      </c>
      <c r="J3" s="90"/>
      <c r="K3" s="39" t="s">
        <v>1</v>
      </c>
    </row>
    <row r="4" spans="1:11" ht="15.75" thickBot="1">
      <c r="A4" s="48"/>
      <c r="B4" s="40"/>
      <c r="C4" s="40"/>
      <c r="D4" s="40"/>
      <c r="E4" s="40"/>
      <c r="F4" s="34">
        <v>1</v>
      </c>
      <c r="G4" s="34">
        <v>2</v>
      </c>
      <c r="H4" s="34">
        <v>3</v>
      </c>
      <c r="I4" s="34" t="s">
        <v>990</v>
      </c>
      <c r="J4" s="34" t="s">
        <v>989</v>
      </c>
      <c r="K4" s="40"/>
    </row>
    <row r="5" spans="1:11" ht="15">
      <c r="A5" s="38" t="s">
        <v>973</v>
      </c>
      <c r="B5" s="38"/>
      <c r="C5" s="38"/>
      <c r="D5" s="38"/>
      <c r="E5" s="38"/>
      <c r="F5" s="38"/>
      <c r="G5" s="38"/>
      <c r="H5" s="38"/>
      <c r="I5" s="35"/>
      <c r="J5" s="35"/>
      <c r="K5" s="4"/>
    </row>
    <row r="6" spans="1:11" ht="12.75">
      <c r="A6" s="28" t="s">
        <v>950</v>
      </c>
      <c r="B6" s="28" t="s">
        <v>988</v>
      </c>
      <c r="C6" s="28" t="s">
        <v>987</v>
      </c>
      <c r="D6" s="28" t="s">
        <v>970</v>
      </c>
      <c r="E6" s="28" t="s">
        <v>969</v>
      </c>
      <c r="F6" s="70" t="s">
        <v>986</v>
      </c>
      <c r="G6" s="62">
        <v>140</v>
      </c>
      <c r="H6" s="89" t="s">
        <v>985</v>
      </c>
      <c r="I6" s="6" t="s">
        <v>968</v>
      </c>
      <c r="J6" s="70" t="s">
        <v>984</v>
      </c>
      <c r="K6" s="28" t="s">
        <v>983</v>
      </c>
    </row>
    <row r="7" spans="1:11" ht="12.75">
      <c r="A7" s="4"/>
      <c r="B7" s="4"/>
      <c r="C7" s="4"/>
      <c r="D7" s="4"/>
      <c r="E7" s="4"/>
      <c r="F7" s="3"/>
      <c r="G7" s="54"/>
      <c r="H7" s="4"/>
      <c r="I7" s="4"/>
      <c r="J7" s="3"/>
      <c r="K7" s="4"/>
    </row>
    <row r="8" spans="1:11" ht="15">
      <c r="A8" s="4"/>
      <c r="B8" s="4"/>
      <c r="C8" s="4"/>
      <c r="D8" s="18" t="s">
        <v>112</v>
      </c>
      <c r="E8" s="18" t="s">
        <v>151</v>
      </c>
      <c r="F8" s="3"/>
      <c r="G8" s="54"/>
      <c r="H8" s="4"/>
      <c r="I8" s="4"/>
      <c r="J8" s="3"/>
      <c r="K8" s="4"/>
    </row>
    <row r="9" spans="1:11" ht="15">
      <c r="A9" s="4"/>
      <c r="B9" s="4"/>
      <c r="C9" s="4"/>
      <c r="D9" s="18" t="s">
        <v>113</v>
      </c>
      <c r="E9" s="18" t="s">
        <v>152</v>
      </c>
      <c r="F9" s="3"/>
      <c r="G9" s="54"/>
      <c r="H9" s="4"/>
      <c r="I9" s="4"/>
      <c r="J9" s="3"/>
      <c r="K9" s="4"/>
    </row>
    <row r="10" spans="1:11" ht="15">
      <c r="A10" s="4"/>
      <c r="B10" s="4"/>
      <c r="C10" s="4"/>
      <c r="D10" s="18" t="s">
        <v>114</v>
      </c>
      <c r="E10" s="18" t="s">
        <v>153</v>
      </c>
      <c r="F10" s="3"/>
      <c r="G10" s="54"/>
      <c r="H10" s="4"/>
      <c r="I10" s="4"/>
      <c r="J10" s="3"/>
      <c r="K10" s="4"/>
    </row>
    <row r="11" spans="1:11" ht="15">
      <c r="A11" s="4"/>
      <c r="B11" s="4"/>
      <c r="C11" s="4"/>
      <c r="D11" s="18" t="s">
        <v>115</v>
      </c>
      <c r="E11" s="18" t="s">
        <v>692</v>
      </c>
      <c r="F11" s="3"/>
      <c r="G11" s="54"/>
      <c r="H11" s="4"/>
      <c r="I11" s="4"/>
      <c r="J11" s="3"/>
      <c r="K11" s="4"/>
    </row>
    <row r="12" spans="1:11" ht="15">
      <c r="A12" s="4"/>
      <c r="B12" s="4"/>
      <c r="C12" s="4"/>
      <c r="D12" s="18" t="s">
        <v>115</v>
      </c>
      <c r="E12" s="18" t="s">
        <v>691</v>
      </c>
      <c r="F12" s="3"/>
      <c r="G12" s="54"/>
      <c r="H12" s="4"/>
      <c r="I12" s="4"/>
      <c r="J12" s="3"/>
      <c r="K12" s="4"/>
    </row>
  </sheetData>
  <sheetProtection/>
  <mergeCells count="10">
    <mergeCell ref="K3:K4"/>
    <mergeCell ref="A5:H5"/>
    <mergeCell ref="A1:K2"/>
    <mergeCell ref="A3:A4"/>
    <mergeCell ref="B3:B4"/>
    <mergeCell ref="C3:C4"/>
    <mergeCell ref="D3:D4"/>
    <mergeCell ref="E3:E4"/>
    <mergeCell ref="F3:H3"/>
    <mergeCell ref="I3:J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10" sqref="E10:E14"/>
    </sheetView>
  </sheetViews>
  <sheetFormatPr defaultColWidth="9.00390625" defaultRowHeight="12.75"/>
  <cols>
    <col min="1" max="1" width="19.875" style="0" bestFit="1" customWidth="1"/>
    <col min="2" max="2" width="27.75390625" style="0" bestFit="1" customWidth="1"/>
    <col min="3" max="3" width="8.375" style="0" bestFit="1" customWidth="1"/>
    <col min="4" max="4" width="22.75390625" style="0" bestFit="1" customWidth="1"/>
    <col min="5" max="5" width="33.625" style="0" bestFit="1" customWidth="1"/>
    <col min="6" max="6" width="5.00390625" style="0" bestFit="1" customWidth="1"/>
    <col min="7" max="7" width="10.375" style="0" bestFit="1" customWidth="1"/>
    <col min="8" max="8" width="8.875" style="0" bestFit="1" customWidth="1"/>
    <col min="9" max="9" width="8.875" style="0" customWidth="1"/>
    <col min="10" max="10" width="9.625" style="0" bestFit="1" customWidth="1"/>
    <col min="11" max="11" width="9.625" style="0" customWidth="1"/>
    <col min="12" max="12" width="11.25390625" style="0" bestFit="1" customWidth="1"/>
  </cols>
  <sheetData>
    <row r="1" spans="1:12" ht="12.75">
      <c r="A1" s="41" t="s">
        <v>1009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8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5">
      <c r="A3" s="47" t="s">
        <v>0</v>
      </c>
      <c r="B3" s="49" t="s">
        <v>6</v>
      </c>
      <c r="C3" s="49" t="s">
        <v>7</v>
      </c>
      <c r="D3" s="39" t="s">
        <v>4</v>
      </c>
      <c r="E3" s="39" t="s">
        <v>8</v>
      </c>
      <c r="F3" s="39" t="s">
        <v>992</v>
      </c>
      <c r="G3" s="39"/>
      <c r="H3" s="39"/>
      <c r="I3" s="91" t="s">
        <v>13</v>
      </c>
      <c r="J3" s="94"/>
      <c r="K3" s="94"/>
      <c r="L3" s="93" t="s">
        <v>1</v>
      </c>
    </row>
    <row r="4" spans="1:12" ht="15.75" thickBot="1">
      <c r="A4" s="48"/>
      <c r="B4" s="40"/>
      <c r="C4" s="40"/>
      <c r="D4" s="40"/>
      <c r="E4" s="40"/>
      <c r="F4" s="34">
        <v>1</v>
      </c>
      <c r="G4" s="34">
        <v>2</v>
      </c>
      <c r="H4" s="34">
        <v>3</v>
      </c>
      <c r="I4" s="34">
        <v>1</v>
      </c>
      <c r="J4" s="34">
        <v>2</v>
      </c>
      <c r="K4" s="34" t="s">
        <v>1008</v>
      </c>
      <c r="L4" s="34">
        <v>3</v>
      </c>
    </row>
    <row r="5" spans="1:12" ht="15">
      <c r="A5" s="37" t="s">
        <v>261</v>
      </c>
      <c r="B5" s="37"/>
      <c r="C5" s="37"/>
      <c r="D5" s="37"/>
      <c r="E5" s="37"/>
      <c r="F5" s="37"/>
      <c r="G5" s="37"/>
      <c r="H5" s="37"/>
      <c r="I5" s="37"/>
      <c r="J5" s="37"/>
      <c r="K5" s="35"/>
      <c r="L5" s="4"/>
    </row>
    <row r="6" spans="1:12" ht="12.75">
      <c r="A6" s="28" t="s">
        <v>1007</v>
      </c>
      <c r="B6" s="28" t="s">
        <v>972</v>
      </c>
      <c r="C6" s="28" t="s">
        <v>1006</v>
      </c>
      <c r="D6" s="28" t="s">
        <v>970</v>
      </c>
      <c r="E6" s="28" t="s">
        <v>969</v>
      </c>
      <c r="F6" s="70" t="s">
        <v>1005</v>
      </c>
      <c r="G6" s="92">
        <v>132.5</v>
      </c>
      <c r="H6" s="28" t="s">
        <v>98</v>
      </c>
      <c r="I6" s="28" t="s">
        <v>1004</v>
      </c>
      <c r="J6" s="70" t="s">
        <v>444</v>
      </c>
      <c r="K6" s="70" t="s">
        <v>1003</v>
      </c>
      <c r="L6" s="28" t="s">
        <v>1002</v>
      </c>
    </row>
    <row r="7" spans="1:12" ht="15">
      <c r="A7" s="37" t="s">
        <v>100</v>
      </c>
      <c r="B7" s="37"/>
      <c r="C7" s="37"/>
      <c r="D7" s="37"/>
      <c r="E7" s="37"/>
      <c r="F7" s="37"/>
      <c r="G7" s="37"/>
      <c r="H7" s="37"/>
      <c r="I7" s="37"/>
      <c r="J7" s="37"/>
      <c r="K7" s="35"/>
      <c r="L7" s="4"/>
    </row>
    <row r="8" spans="1:12" ht="12.75">
      <c r="A8" s="28" t="s">
        <v>907</v>
      </c>
      <c r="B8" s="28" t="s">
        <v>1001</v>
      </c>
      <c r="C8" s="28" t="s">
        <v>980</v>
      </c>
      <c r="D8" s="28" t="s">
        <v>1000</v>
      </c>
      <c r="E8" s="28" t="s">
        <v>999</v>
      </c>
      <c r="F8" s="70" t="s">
        <v>998</v>
      </c>
      <c r="G8" s="62">
        <v>150</v>
      </c>
      <c r="H8" s="28" t="s">
        <v>997</v>
      </c>
      <c r="I8" s="28" t="s">
        <v>996</v>
      </c>
      <c r="J8" s="8" t="s">
        <v>995</v>
      </c>
      <c r="K8" s="70" t="s">
        <v>995</v>
      </c>
      <c r="L8" s="28" t="s">
        <v>994</v>
      </c>
    </row>
    <row r="9" spans="1:12" ht="12.75">
      <c r="A9" s="4"/>
      <c r="B9" s="4"/>
      <c r="C9" s="4"/>
      <c r="D9" s="4"/>
      <c r="E9" s="4"/>
      <c r="F9" s="3"/>
      <c r="G9" s="54"/>
      <c r="H9" s="4"/>
      <c r="I9" s="4"/>
      <c r="J9" s="3"/>
      <c r="K9" s="3"/>
      <c r="L9" s="4"/>
    </row>
    <row r="10" spans="1:12" ht="15">
      <c r="A10" s="4"/>
      <c r="B10" s="4"/>
      <c r="C10" s="4"/>
      <c r="D10" s="18" t="s">
        <v>112</v>
      </c>
      <c r="E10" s="18" t="s">
        <v>151</v>
      </c>
      <c r="F10" s="3"/>
      <c r="G10" s="54"/>
      <c r="H10" s="4"/>
      <c r="I10" s="4"/>
      <c r="J10" s="3"/>
      <c r="K10" s="3"/>
      <c r="L10" s="4"/>
    </row>
    <row r="11" spans="1:12" ht="15">
      <c r="A11" s="4"/>
      <c r="B11" s="4"/>
      <c r="C11" s="4"/>
      <c r="D11" s="18" t="s">
        <v>113</v>
      </c>
      <c r="E11" s="18" t="s">
        <v>152</v>
      </c>
      <c r="F11" s="3"/>
      <c r="G11" s="54"/>
      <c r="H11" s="4"/>
      <c r="I11" s="4"/>
      <c r="J11" s="3"/>
      <c r="K11" s="3"/>
      <c r="L11" s="4"/>
    </row>
    <row r="12" spans="1:12" ht="15">
      <c r="A12" s="4"/>
      <c r="B12" s="4"/>
      <c r="C12" s="4"/>
      <c r="D12" s="18" t="s">
        <v>114</v>
      </c>
      <c r="E12" s="18" t="s">
        <v>153</v>
      </c>
      <c r="F12" s="3"/>
      <c r="G12" s="54"/>
      <c r="H12" s="4"/>
      <c r="I12" s="4"/>
      <c r="J12" s="3"/>
      <c r="K12" s="3"/>
      <c r="L12" s="4"/>
    </row>
    <row r="13" spans="1:12" ht="15">
      <c r="A13" s="4"/>
      <c r="B13" s="4"/>
      <c r="C13" s="4"/>
      <c r="D13" s="18" t="s">
        <v>115</v>
      </c>
      <c r="E13" s="18" t="s">
        <v>692</v>
      </c>
      <c r="F13" s="3"/>
      <c r="G13" s="54"/>
      <c r="H13" s="4"/>
      <c r="I13" s="4"/>
      <c r="J13" s="3"/>
      <c r="K13" s="3"/>
      <c r="L13" s="4"/>
    </row>
    <row r="14" spans="1:12" ht="15">
      <c r="A14" s="4"/>
      <c r="B14" s="4"/>
      <c r="C14" s="4"/>
      <c r="D14" s="18" t="s">
        <v>115</v>
      </c>
      <c r="E14" s="18" t="s">
        <v>691</v>
      </c>
      <c r="F14" s="3"/>
      <c r="G14" s="54"/>
      <c r="H14" s="4"/>
      <c r="I14" s="4"/>
      <c r="J14" s="3"/>
      <c r="K14" s="3"/>
      <c r="L14" s="4"/>
    </row>
  </sheetData>
  <sheetProtection/>
  <mergeCells count="10">
    <mergeCell ref="I3:K3"/>
    <mergeCell ref="A5:J5"/>
    <mergeCell ref="A7:J7"/>
    <mergeCell ref="A1:L2"/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8.125" style="0" bestFit="1" customWidth="1"/>
    <col min="2" max="2" width="28.625" style="0" bestFit="1" customWidth="1"/>
    <col min="3" max="3" width="8.375" style="0" bestFit="1" customWidth="1"/>
    <col min="4" max="4" width="9.25390625" style="0" bestFit="1" customWidth="1"/>
    <col min="5" max="5" width="22.75390625" style="0" bestFit="1" customWidth="1"/>
    <col min="6" max="6" width="30.25390625" style="0" bestFit="1" customWidth="1"/>
    <col min="7" max="8" width="6.625" style="0" bestFit="1" customWidth="1"/>
    <col min="9" max="9" width="5.625" style="0" bestFit="1" customWidth="1"/>
    <col min="10" max="10" width="4.875" style="0" bestFit="1" customWidth="1"/>
    <col min="11" max="11" width="11.25390625" style="0" bestFit="1" customWidth="1"/>
    <col min="12" max="12" width="7.625" style="0" bestFit="1" customWidth="1"/>
    <col min="13" max="13" width="8.875" style="0" bestFit="1" customWidth="1"/>
  </cols>
  <sheetData>
    <row r="1" spans="1:13" ht="12.75">
      <c r="A1" s="41" t="s">
        <v>1016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10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34">
        <v>1</v>
      </c>
      <c r="H4" s="34">
        <v>2</v>
      </c>
      <c r="I4" s="34">
        <v>3</v>
      </c>
      <c r="J4" s="34" t="s">
        <v>5</v>
      </c>
      <c r="K4" s="40"/>
      <c r="L4" s="40"/>
      <c r="M4" s="51"/>
    </row>
    <row r="5" spans="1:13" ht="15">
      <c r="A5" s="38" t="s">
        <v>169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</row>
    <row r="6" spans="1:13" ht="12.75">
      <c r="A6" s="6" t="s">
        <v>537</v>
      </c>
      <c r="B6" s="6" t="s">
        <v>538</v>
      </c>
      <c r="C6" s="6" t="s">
        <v>539</v>
      </c>
      <c r="D6" s="6" t="str">
        <f>"0,6895"</f>
        <v>0,6895</v>
      </c>
      <c r="E6" s="6" t="s">
        <v>243</v>
      </c>
      <c r="F6" s="6" t="s">
        <v>244</v>
      </c>
      <c r="G6" s="7" t="s">
        <v>187</v>
      </c>
      <c r="H6" s="7" t="s">
        <v>54</v>
      </c>
      <c r="I6" s="7" t="s">
        <v>417</v>
      </c>
      <c r="J6" s="8"/>
      <c r="K6" s="6" t="str">
        <f>"115,0"</f>
        <v>115,0</v>
      </c>
      <c r="L6" s="7" t="str">
        <f>"79,2925"</f>
        <v>79,2925</v>
      </c>
      <c r="M6" s="6" t="s">
        <v>28</v>
      </c>
    </row>
    <row r="7" spans="1:13" ht="12.75">
      <c r="A7" s="4"/>
      <c r="B7" s="4"/>
      <c r="C7" s="4"/>
      <c r="D7" s="4"/>
      <c r="E7" s="4"/>
      <c r="F7" s="4"/>
      <c r="G7" s="3"/>
      <c r="H7" s="3"/>
      <c r="I7" s="3"/>
      <c r="J7" s="3"/>
      <c r="K7" s="4"/>
      <c r="L7" s="3"/>
      <c r="M7" s="4"/>
    </row>
    <row r="8" spans="1:13" ht="15">
      <c r="A8" s="37" t="s">
        <v>270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4"/>
    </row>
    <row r="9" spans="1:13" ht="12.75">
      <c r="A9" s="9" t="s">
        <v>341</v>
      </c>
      <c r="B9" s="9" t="s">
        <v>1015</v>
      </c>
      <c r="C9" s="9" t="s">
        <v>1014</v>
      </c>
      <c r="D9" s="9" t="str">
        <f>"0,5382"</f>
        <v>0,5382</v>
      </c>
      <c r="E9" s="9" t="s">
        <v>47</v>
      </c>
      <c r="F9" s="9" t="s">
        <v>48</v>
      </c>
      <c r="G9" s="10" t="s">
        <v>56</v>
      </c>
      <c r="H9" s="10" t="s">
        <v>392</v>
      </c>
      <c r="I9" s="10" t="s">
        <v>404</v>
      </c>
      <c r="J9" s="11"/>
      <c r="K9" s="9" t="str">
        <f>"142,5"</f>
        <v>142,5</v>
      </c>
      <c r="L9" s="10" t="str">
        <f>"76,6935"</f>
        <v>76,6935</v>
      </c>
      <c r="M9" s="9" t="s">
        <v>28</v>
      </c>
    </row>
    <row r="10" spans="1:13" ht="12.75">
      <c r="A10" s="15" t="s">
        <v>341</v>
      </c>
      <c r="B10" s="15" t="s">
        <v>342</v>
      </c>
      <c r="C10" s="15" t="s">
        <v>1014</v>
      </c>
      <c r="D10" s="15" t="str">
        <f>"0,5382"</f>
        <v>0,5382</v>
      </c>
      <c r="E10" s="15" t="s">
        <v>47</v>
      </c>
      <c r="F10" s="15" t="s">
        <v>48</v>
      </c>
      <c r="G10" s="16" t="s">
        <v>56</v>
      </c>
      <c r="H10" s="16" t="s">
        <v>392</v>
      </c>
      <c r="I10" s="16" t="s">
        <v>404</v>
      </c>
      <c r="J10" s="17"/>
      <c r="K10" s="15" t="str">
        <f>"142,5"</f>
        <v>142,5</v>
      </c>
      <c r="L10" s="16" t="str">
        <f>"98,2444"</f>
        <v>98,2444</v>
      </c>
      <c r="M10" s="15" t="s">
        <v>28</v>
      </c>
    </row>
    <row r="11" spans="1:13" ht="12.75">
      <c r="A11" s="4"/>
      <c r="B11" s="4"/>
      <c r="C11" s="4"/>
      <c r="D11" s="4"/>
      <c r="E11" s="4"/>
      <c r="F11" s="4"/>
      <c r="G11" s="3"/>
      <c r="H11" s="3"/>
      <c r="I11" s="3"/>
      <c r="J11" s="3"/>
      <c r="K11" s="4"/>
      <c r="L11" s="3"/>
      <c r="M11" s="4"/>
    </row>
    <row r="12" spans="1:13" ht="15">
      <c r="A12" s="37" t="s">
        <v>1013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"/>
    </row>
    <row r="13" spans="1:13" ht="12.75">
      <c r="A13" s="6" t="s">
        <v>1012</v>
      </c>
      <c r="B13" s="6" t="s">
        <v>1011</v>
      </c>
      <c r="C13" s="6" t="s">
        <v>1010</v>
      </c>
      <c r="D13" s="6" t="str">
        <f>"0,5305"</f>
        <v>0,5305</v>
      </c>
      <c r="E13" s="6" t="s">
        <v>19</v>
      </c>
      <c r="F13" s="6" t="s">
        <v>20</v>
      </c>
      <c r="G13" s="7" t="s">
        <v>74</v>
      </c>
      <c r="H13" s="7" t="s">
        <v>88</v>
      </c>
      <c r="I13" s="8" t="s">
        <v>221</v>
      </c>
      <c r="J13" s="8"/>
      <c r="K13" s="6" t="str">
        <f>"150,0"</f>
        <v>150,0</v>
      </c>
      <c r="L13" s="7" t="str">
        <f>"79,5750"</f>
        <v>79,5750</v>
      </c>
      <c r="M13" s="6" t="s">
        <v>28</v>
      </c>
    </row>
    <row r="14" spans="1:13" ht="12.75">
      <c r="A14" s="4"/>
      <c r="B14" s="4"/>
      <c r="C14" s="4"/>
      <c r="D14" s="4"/>
      <c r="E14" s="4"/>
      <c r="F14" s="4"/>
      <c r="G14" s="3"/>
      <c r="H14" s="3"/>
      <c r="I14" s="3"/>
      <c r="J14" s="3"/>
      <c r="K14" s="4"/>
      <c r="L14" s="3"/>
      <c r="M14" s="4"/>
    </row>
    <row r="15" spans="1:13" ht="15">
      <c r="A15" s="4"/>
      <c r="B15" s="4"/>
      <c r="C15" s="4"/>
      <c r="D15" s="4"/>
      <c r="E15" s="18" t="s">
        <v>112</v>
      </c>
      <c r="F15" s="18" t="s">
        <v>151</v>
      </c>
      <c r="G15" s="3"/>
      <c r="H15" s="3"/>
      <c r="I15" s="3"/>
      <c r="J15" s="3"/>
      <c r="K15" s="4"/>
      <c r="L15" s="3"/>
      <c r="M15" s="4"/>
    </row>
    <row r="16" spans="1:13" ht="15">
      <c r="A16" s="4"/>
      <c r="B16" s="4"/>
      <c r="C16" s="4"/>
      <c r="D16" s="4"/>
      <c r="E16" s="18" t="s">
        <v>113</v>
      </c>
      <c r="F16" s="18" t="s">
        <v>152</v>
      </c>
      <c r="G16" s="3"/>
      <c r="H16" s="3"/>
      <c r="I16" s="3"/>
      <c r="J16" s="3"/>
      <c r="K16" s="4"/>
      <c r="L16" s="3"/>
      <c r="M16" s="4"/>
    </row>
    <row r="17" spans="1:13" ht="15">
      <c r="A17" s="4"/>
      <c r="B17" s="4"/>
      <c r="C17" s="4"/>
      <c r="D17" s="4"/>
      <c r="E17" s="18" t="s">
        <v>114</v>
      </c>
      <c r="F17" s="18" t="s">
        <v>153</v>
      </c>
      <c r="G17" s="3"/>
      <c r="H17" s="3"/>
      <c r="I17" s="3"/>
      <c r="J17" s="3"/>
      <c r="K17" s="4"/>
      <c r="L17" s="3"/>
      <c r="M17" s="4"/>
    </row>
    <row r="18" spans="1:13" ht="15">
      <c r="A18" s="4"/>
      <c r="B18" s="4"/>
      <c r="C18" s="4"/>
      <c r="D18" s="4"/>
      <c r="E18" s="18" t="s">
        <v>115</v>
      </c>
      <c r="F18" s="18" t="s">
        <v>692</v>
      </c>
      <c r="G18" s="3"/>
      <c r="H18" s="3"/>
      <c r="I18" s="3"/>
      <c r="J18" s="3"/>
      <c r="K18" s="4"/>
      <c r="L18" s="3"/>
      <c r="M18" s="4"/>
    </row>
    <row r="19" spans="1:13" ht="15">
      <c r="A19" s="4"/>
      <c r="B19" s="4"/>
      <c r="C19" s="4"/>
      <c r="D19" s="4"/>
      <c r="E19" s="18" t="s">
        <v>115</v>
      </c>
      <c r="F19" s="18" t="s">
        <v>691</v>
      </c>
      <c r="G19" s="3"/>
      <c r="H19" s="3"/>
      <c r="I19" s="3"/>
      <c r="J19" s="3"/>
      <c r="K19" s="4"/>
      <c r="L19" s="3"/>
      <c r="M19" s="4"/>
    </row>
    <row r="20" spans="1:13" ht="15">
      <c r="A20" s="4"/>
      <c r="B20" s="4"/>
      <c r="C20" s="4"/>
      <c r="D20" s="4"/>
      <c r="E20" s="18"/>
      <c r="F20" s="4"/>
      <c r="G20" s="3"/>
      <c r="H20" s="3"/>
      <c r="I20" s="3"/>
      <c r="J20" s="3"/>
      <c r="K20" s="4"/>
      <c r="L20" s="3"/>
      <c r="M20" s="4"/>
    </row>
  </sheetData>
  <sheetProtection/>
  <mergeCells count="14">
    <mergeCell ref="F3:F4"/>
    <mergeCell ref="G3:J3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29.00390625" style="0" bestFit="1" customWidth="1"/>
    <col min="7" max="9" width="5.625" style="0" bestFit="1" customWidth="1"/>
    <col min="10" max="10" width="4.875" style="0" bestFit="1" customWidth="1"/>
    <col min="11" max="11" width="5.625" style="0" bestFit="1" customWidth="1"/>
    <col min="12" max="12" width="6.625" style="0" bestFit="1" customWidth="1"/>
    <col min="13" max="13" width="5.625" style="0" bestFit="1" customWidth="1"/>
    <col min="14" max="14" width="4.875" style="0" bestFit="1" customWidth="1"/>
    <col min="15" max="15" width="5.625" style="0" bestFit="1" customWidth="1"/>
    <col min="16" max="16" width="6.625" style="0" bestFit="1" customWidth="1"/>
    <col min="17" max="17" width="5.625" style="0" bestFit="1" customWidth="1"/>
    <col min="18" max="18" width="4.875" style="0" bestFit="1" customWidth="1"/>
    <col min="19" max="19" width="10.125" style="0" bestFit="1" customWidth="1"/>
    <col min="20" max="20" width="11.125" style="0" bestFit="1" customWidth="1"/>
    <col min="21" max="21" width="8.875" style="0" bestFit="1" customWidth="1"/>
  </cols>
  <sheetData>
    <row r="1" spans="1:21" ht="12.75">
      <c r="A1" s="41" t="s">
        <v>168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14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12</v>
      </c>
      <c r="L3" s="39"/>
      <c r="M3" s="39"/>
      <c r="N3" s="39"/>
      <c r="O3" s="39" t="s">
        <v>13</v>
      </c>
      <c r="P3" s="39"/>
      <c r="Q3" s="39"/>
      <c r="R3" s="39"/>
      <c r="S3" s="39" t="s">
        <v>1</v>
      </c>
      <c r="T3" s="39" t="s">
        <v>3</v>
      </c>
      <c r="U3" s="50" t="s">
        <v>2</v>
      </c>
    </row>
    <row r="4" spans="1:21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0"/>
      <c r="T4" s="40"/>
      <c r="U4" s="51"/>
    </row>
    <row r="5" spans="1:21" ht="15">
      <c r="A5" s="52" t="s">
        <v>169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1" ht="12.75">
      <c r="A6" s="9" t="s">
        <v>170</v>
      </c>
      <c r="B6" s="9" t="s">
        <v>171</v>
      </c>
      <c r="C6" s="9" t="s">
        <v>172</v>
      </c>
      <c r="D6" s="9" t="s">
        <v>173</v>
      </c>
      <c r="E6" s="9" t="s">
        <v>19</v>
      </c>
      <c r="F6" s="9" t="s">
        <v>174</v>
      </c>
      <c r="G6" s="10" t="s">
        <v>175</v>
      </c>
      <c r="H6" s="10" t="s">
        <v>176</v>
      </c>
      <c r="I6" s="11"/>
      <c r="J6" s="11"/>
      <c r="K6" s="10" t="s">
        <v>125</v>
      </c>
      <c r="L6" s="10" t="s">
        <v>177</v>
      </c>
      <c r="M6" s="11" t="s">
        <v>178</v>
      </c>
      <c r="N6" s="11"/>
      <c r="O6" s="10" t="s">
        <v>179</v>
      </c>
      <c r="P6" s="10" t="s">
        <v>180</v>
      </c>
      <c r="Q6" s="11"/>
      <c r="R6" s="11"/>
      <c r="S6" s="9" t="s">
        <v>181</v>
      </c>
      <c r="T6" s="10" t="s">
        <v>182</v>
      </c>
      <c r="U6" s="9" t="s">
        <v>28</v>
      </c>
    </row>
    <row r="7" spans="1:21" ht="12.75">
      <c r="A7" s="15" t="s">
        <v>183</v>
      </c>
      <c r="B7" s="15" t="s">
        <v>184</v>
      </c>
      <c r="C7" s="15" t="s">
        <v>185</v>
      </c>
      <c r="D7" s="15" t="s">
        <v>186</v>
      </c>
      <c r="E7" s="15" t="s">
        <v>47</v>
      </c>
      <c r="F7" s="15" t="s">
        <v>48</v>
      </c>
      <c r="G7" s="16" t="s">
        <v>162</v>
      </c>
      <c r="H7" s="16" t="s">
        <v>125</v>
      </c>
      <c r="I7" s="16" t="s">
        <v>95</v>
      </c>
      <c r="J7" s="17"/>
      <c r="K7" s="16" t="s">
        <v>187</v>
      </c>
      <c r="L7" s="16" t="s">
        <v>54</v>
      </c>
      <c r="M7" s="17" t="s">
        <v>188</v>
      </c>
      <c r="N7" s="17"/>
      <c r="O7" s="16" t="s">
        <v>189</v>
      </c>
      <c r="P7" s="16" t="s">
        <v>176</v>
      </c>
      <c r="Q7" s="17" t="s">
        <v>131</v>
      </c>
      <c r="R7" s="17"/>
      <c r="S7" s="15" t="s">
        <v>190</v>
      </c>
      <c r="T7" s="16" t="s">
        <v>191</v>
      </c>
      <c r="U7" s="15" t="s">
        <v>28</v>
      </c>
    </row>
    <row r="8" spans="1:21" ht="12.75">
      <c r="A8" s="4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  <c r="U8" s="4"/>
    </row>
    <row r="9" spans="1:21" ht="15" customHeight="1">
      <c r="A9" s="4"/>
      <c r="B9" s="4"/>
      <c r="C9" s="4"/>
      <c r="D9" s="4"/>
      <c r="E9" s="18" t="s">
        <v>112</v>
      </c>
      <c r="F9" s="18" t="s">
        <v>151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3"/>
      <c r="U9" s="4"/>
    </row>
    <row r="10" spans="1:21" ht="15.75" customHeight="1">
      <c r="A10" s="4"/>
      <c r="B10" s="4"/>
      <c r="C10" s="4"/>
      <c r="D10" s="4"/>
      <c r="E10" s="18" t="s">
        <v>113</v>
      </c>
      <c r="F10" s="18" t="s">
        <v>152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3"/>
      <c r="U10" s="4"/>
    </row>
    <row r="11" spans="1:21" ht="15" customHeight="1">
      <c r="A11" s="4"/>
      <c r="B11" s="4"/>
      <c r="C11" s="4"/>
      <c r="D11" s="4"/>
      <c r="E11" s="18" t="s">
        <v>114</v>
      </c>
      <c r="F11" s="18" t="s">
        <v>153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4"/>
    </row>
    <row r="12" spans="1:21" ht="15">
      <c r="A12" s="4"/>
      <c r="B12" s="4"/>
      <c r="C12" s="4"/>
      <c r="D12" s="4"/>
      <c r="E12" s="18" t="s">
        <v>115</v>
      </c>
      <c r="F12" s="18" t="s">
        <v>154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3"/>
      <c r="U12" s="4"/>
    </row>
    <row r="13" spans="1:21" ht="15">
      <c r="A13" s="4"/>
      <c r="B13" s="4"/>
      <c r="C13" s="4"/>
      <c r="D13" s="4"/>
      <c r="E13" s="18" t="s">
        <v>115</v>
      </c>
      <c r="F13" s="18" t="s">
        <v>155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3"/>
      <c r="U13" s="4"/>
    </row>
    <row r="14" spans="1:21" ht="15">
      <c r="A14" s="4"/>
      <c r="B14" s="4"/>
      <c r="C14" s="4"/>
      <c r="D14" s="4"/>
      <c r="E14" s="18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3"/>
      <c r="U14" s="4"/>
    </row>
    <row r="15" spans="1:21" ht="15">
      <c r="A15" s="4"/>
      <c r="B15" s="4"/>
      <c r="C15" s="4"/>
      <c r="D15" s="4"/>
      <c r="E15" s="18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3"/>
      <c r="U15" s="4"/>
    </row>
    <row r="16" spans="1:21" ht="12.75">
      <c r="A16" s="4"/>
      <c r="B16" s="4"/>
      <c r="C16" s="4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3"/>
      <c r="U16" s="4"/>
    </row>
    <row r="17" spans="1:21" ht="18">
      <c r="A17" s="19" t="s">
        <v>116</v>
      </c>
      <c r="B17" s="19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3"/>
      <c r="U17" s="4"/>
    </row>
    <row r="18" spans="1:21" ht="15">
      <c r="A18" s="20" t="s">
        <v>136</v>
      </c>
      <c r="B18" s="20"/>
      <c r="C18" s="4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3"/>
      <c r="U18" s="4"/>
    </row>
    <row r="19" spans="1:21" ht="14.25">
      <c r="A19" s="26"/>
      <c r="B19" s="23" t="s">
        <v>127</v>
      </c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  <c r="T19" s="3"/>
      <c r="U19" s="4"/>
    </row>
    <row r="20" spans="1:21" ht="15">
      <c r="A20" s="24" t="s">
        <v>119</v>
      </c>
      <c r="B20" s="24" t="s">
        <v>120</v>
      </c>
      <c r="C20" s="24" t="s">
        <v>121</v>
      </c>
      <c r="D20" s="24" t="s">
        <v>122</v>
      </c>
      <c r="E20" s="24" t="s">
        <v>123</v>
      </c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  <c r="T20" s="3"/>
      <c r="U20" s="4"/>
    </row>
    <row r="21" spans="1:21" ht="12.75">
      <c r="A21" s="27" t="s">
        <v>192</v>
      </c>
      <c r="B21" s="4" t="s">
        <v>127</v>
      </c>
      <c r="C21" s="4" t="s">
        <v>193</v>
      </c>
      <c r="D21" s="4" t="s">
        <v>194</v>
      </c>
      <c r="E21" s="25" t="s">
        <v>195</v>
      </c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  <c r="T21" s="3"/>
      <c r="U21" s="4"/>
    </row>
    <row r="22" spans="1:21" ht="12.75">
      <c r="A22" s="4"/>
      <c r="B22" s="4"/>
      <c r="C22" s="4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3"/>
      <c r="U22" s="4"/>
    </row>
    <row r="23" spans="1:21" ht="14.25">
      <c r="A23" s="26"/>
      <c r="B23" s="23" t="s">
        <v>133</v>
      </c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3"/>
      <c r="U23" s="4"/>
    </row>
    <row r="24" spans="1:21" ht="15">
      <c r="A24" s="24" t="s">
        <v>119</v>
      </c>
      <c r="B24" s="24" t="s">
        <v>120</v>
      </c>
      <c r="C24" s="24" t="s">
        <v>121</v>
      </c>
      <c r="D24" s="24" t="s">
        <v>122</v>
      </c>
      <c r="E24" s="24" t="s">
        <v>123</v>
      </c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  <c r="T24" s="3"/>
      <c r="U24" s="4"/>
    </row>
    <row r="25" spans="1:21" ht="12.75">
      <c r="A25" s="27" t="s">
        <v>196</v>
      </c>
      <c r="B25" s="4" t="s">
        <v>197</v>
      </c>
      <c r="C25" s="4" t="s">
        <v>193</v>
      </c>
      <c r="D25" s="4" t="s">
        <v>198</v>
      </c>
      <c r="E25" s="25" t="s">
        <v>199</v>
      </c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3"/>
      <c r="U25" s="4"/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A9" sqref="A9:L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6.75390625" style="4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5.625" style="3" bestFit="1" customWidth="1"/>
    <col min="10" max="10" width="4.875" style="3" bestFit="1" customWidth="1"/>
    <col min="11" max="11" width="11.2539062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1" t="s">
        <v>1031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1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34">
        <v>1</v>
      </c>
      <c r="H4" s="34">
        <v>2</v>
      </c>
      <c r="I4" s="34">
        <v>3</v>
      </c>
      <c r="J4" s="34" t="s">
        <v>5</v>
      </c>
      <c r="K4" s="40"/>
      <c r="L4" s="40"/>
      <c r="M4" s="51"/>
    </row>
    <row r="5" spans="1:12" ht="15">
      <c r="A5" s="38" t="s">
        <v>79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12.75">
      <c r="A6" s="9" t="s">
        <v>925</v>
      </c>
      <c r="B6" s="9" t="s">
        <v>398</v>
      </c>
      <c r="C6" s="9" t="s">
        <v>399</v>
      </c>
      <c r="D6" s="9" t="str">
        <f>"0,6680"</f>
        <v>0,6680</v>
      </c>
      <c r="E6" s="9" t="s">
        <v>93</v>
      </c>
      <c r="F6" s="9" t="s">
        <v>94</v>
      </c>
      <c r="G6" s="10" t="s">
        <v>417</v>
      </c>
      <c r="H6" s="10" t="s">
        <v>55</v>
      </c>
      <c r="I6" s="10" t="s">
        <v>319</v>
      </c>
      <c r="J6" s="11"/>
      <c r="K6" s="9" t="str">
        <f>"127,5"</f>
        <v>127,5</v>
      </c>
      <c r="L6" s="10" t="str">
        <f>"86,8734"</f>
        <v>86,8734</v>
      </c>
      <c r="M6" s="9" t="s">
        <v>28</v>
      </c>
    </row>
    <row r="7" spans="1:13" ht="12.75">
      <c r="A7" s="15" t="s">
        <v>865</v>
      </c>
      <c r="B7" s="15" t="s">
        <v>864</v>
      </c>
      <c r="C7" s="15" t="s">
        <v>863</v>
      </c>
      <c r="D7" s="15" t="str">
        <f>"0,6760"</f>
        <v>0,6760</v>
      </c>
      <c r="E7" s="15" t="s">
        <v>93</v>
      </c>
      <c r="F7" s="15" t="s">
        <v>94</v>
      </c>
      <c r="G7" s="16" t="s">
        <v>37</v>
      </c>
      <c r="H7" s="16" t="s">
        <v>580</v>
      </c>
      <c r="I7" s="16" t="s">
        <v>54</v>
      </c>
      <c r="J7" s="17"/>
      <c r="K7" s="15" t="str">
        <f>"110,0"</f>
        <v>110,0</v>
      </c>
      <c r="L7" s="16" t="str">
        <f>"74,3600"</f>
        <v>74,3600</v>
      </c>
      <c r="M7" s="15" t="s">
        <v>28</v>
      </c>
    </row>
    <row r="9" spans="1:12" ht="15">
      <c r="A9" s="37" t="s">
        <v>261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3" ht="12.75">
      <c r="A10" s="9" t="s">
        <v>923</v>
      </c>
      <c r="B10" s="9" t="s">
        <v>422</v>
      </c>
      <c r="C10" s="9" t="s">
        <v>423</v>
      </c>
      <c r="D10" s="9" t="str">
        <f>"0,6000"</f>
        <v>0,6000</v>
      </c>
      <c r="E10" s="9" t="s">
        <v>93</v>
      </c>
      <c r="F10" s="9" t="s">
        <v>94</v>
      </c>
      <c r="G10" s="10" t="s">
        <v>55</v>
      </c>
      <c r="H10" s="10" t="s">
        <v>161</v>
      </c>
      <c r="I10" s="11" t="s">
        <v>392</v>
      </c>
      <c r="J10" s="11"/>
      <c r="K10" s="9" t="str">
        <f>"130,0"</f>
        <v>130,0</v>
      </c>
      <c r="L10" s="10" t="str">
        <f>"78,0000"</f>
        <v>78,0000</v>
      </c>
      <c r="M10" s="9" t="s">
        <v>28</v>
      </c>
    </row>
    <row r="11" spans="1:13" ht="12.75">
      <c r="A11" s="15" t="s">
        <v>921</v>
      </c>
      <c r="B11" s="15" t="s">
        <v>920</v>
      </c>
      <c r="C11" s="15" t="s">
        <v>702</v>
      </c>
      <c r="D11" s="15" t="str">
        <f>"0,5893"</f>
        <v>0,5893</v>
      </c>
      <c r="E11" s="15" t="s">
        <v>93</v>
      </c>
      <c r="F11" s="15" t="s">
        <v>94</v>
      </c>
      <c r="G11" s="16" t="s">
        <v>37</v>
      </c>
      <c r="H11" s="17" t="s">
        <v>54</v>
      </c>
      <c r="I11" s="16" t="s">
        <v>54</v>
      </c>
      <c r="J11" s="17"/>
      <c r="K11" s="15" t="str">
        <f>"110,0"</f>
        <v>110,0</v>
      </c>
      <c r="L11" s="16" t="str">
        <f>"65,9898"</f>
        <v>65,9898</v>
      </c>
      <c r="M11" s="15" t="s">
        <v>28</v>
      </c>
    </row>
    <row r="13" spans="1:12" ht="15">
      <c r="A13" s="37" t="s">
        <v>100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3" ht="12.75">
      <c r="A14" s="9" t="s">
        <v>1030</v>
      </c>
      <c r="B14" s="9" t="s">
        <v>446</v>
      </c>
      <c r="C14" s="9" t="s">
        <v>447</v>
      </c>
      <c r="D14" s="9" t="str">
        <f>"0,5678"</f>
        <v>0,5678</v>
      </c>
      <c r="E14" s="9" t="s">
        <v>448</v>
      </c>
      <c r="F14" s="9" t="s">
        <v>20</v>
      </c>
      <c r="G14" s="10" t="s">
        <v>87</v>
      </c>
      <c r="H14" s="10" t="s">
        <v>162</v>
      </c>
      <c r="I14" s="10" t="s">
        <v>313</v>
      </c>
      <c r="J14" s="11"/>
      <c r="K14" s="9" t="str">
        <f>"157,5"</f>
        <v>157,5</v>
      </c>
      <c r="L14" s="10" t="str">
        <f>"89,4285"</f>
        <v>89,4285</v>
      </c>
      <c r="M14" s="9" t="s">
        <v>28</v>
      </c>
    </row>
    <row r="15" spans="1:13" ht="12.75">
      <c r="A15" s="12" t="s">
        <v>1029</v>
      </c>
      <c r="B15" s="12" t="s">
        <v>402</v>
      </c>
      <c r="C15" s="12" t="s">
        <v>609</v>
      </c>
      <c r="D15" s="12" t="str">
        <f>"0,5624"</f>
        <v>0,5624</v>
      </c>
      <c r="E15" s="12" t="s">
        <v>93</v>
      </c>
      <c r="F15" s="12" t="s">
        <v>94</v>
      </c>
      <c r="G15" s="13" t="s">
        <v>56</v>
      </c>
      <c r="H15" s="13" t="s">
        <v>400</v>
      </c>
      <c r="I15" s="14" t="s">
        <v>98</v>
      </c>
      <c r="J15" s="14"/>
      <c r="K15" s="12" t="str">
        <f>"132,5"</f>
        <v>132,5</v>
      </c>
      <c r="L15" s="13" t="str">
        <f>"74,5180"</f>
        <v>74,5180</v>
      </c>
      <c r="M15" s="12" t="s">
        <v>28</v>
      </c>
    </row>
    <row r="16" spans="1:13" ht="12.75">
      <c r="A16" s="12" t="s">
        <v>1028</v>
      </c>
      <c r="B16" s="12" t="s">
        <v>830</v>
      </c>
      <c r="C16" s="12" t="s">
        <v>322</v>
      </c>
      <c r="D16" s="12" t="str">
        <f>"0,5599"</f>
        <v>0,5599</v>
      </c>
      <c r="E16" s="12" t="s">
        <v>93</v>
      </c>
      <c r="F16" s="12" t="s">
        <v>94</v>
      </c>
      <c r="G16" s="13" t="s">
        <v>40</v>
      </c>
      <c r="H16" s="13" t="s">
        <v>412</v>
      </c>
      <c r="I16" s="13" t="s">
        <v>580</v>
      </c>
      <c r="J16" s="14"/>
      <c r="K16" s="12" t="str">
        <f>"107,5"</f>
        <v>107,5</v>
      </c>
      <c r="L16" s="13" t="str">
        <f>"60,1892"</f>
        <v>60,1892</v>
      </c>
      <c r="M16" s="12" t="s">
        <v>28</v>
      </c>
    </row>
    <row r="17" spans="1:13" ht="12.75">
      <c r="A17" s="15" t="s">
        <v>707</v>
      </c>
      <c r="B17" s="15" t="s">
        <v>828</v>
      </c>
      <c r="C17" s="15" t="s">
        <v>447</v>
      </c>
      <c r="D17" s="15" t="str">
        <f>"0,5678"</f>
        <v>0,5678</v>
      </c>
      <c r="E17" s="15" t="s">
        <v>93</v>
      </c>
      <c r="F17" s="15" t="s">
        <v>94</v>
      </c>
      <c r="G17" s="16" t="s">
        <v>417</v>
      </c>
      <c r="H17" s="16" t="s">
        <v>56</v>
      </c>
      <c r="I17" s="17" t="s">
        <v>161</v>
      </c>
      <c r="J17" s="17"/>
      <c r="K17" s="15" t="str">
        <f>"125,0"</f>
        <v>125,0</v>
      </c>
      <c r="L17" s="16" t="str">
        <f>"81,1954"</f>
        <v>81,1954</v>
      </c>
      <c r="M17" s="15" t="s">
        <v>28</v>
      </c>
    </row>
    <row r="19" spans="5:6" ht="15">
      <c r="E19" s="18" t="s">
        <v>112</v>
      </c>
      <c r="F19" s="18" t="s">
        <v>151</v>
      </c>
    </row>
    <row r="20" spans="5:6" ht="15">
      <c r="E20" s="18" t="s">
        <v>113</v>
      </c>
      <c r="F20" s="18" t="s">
        <v>152</v>
      </c>
    </row>
    <row r="21" spans="5:6" ht="15">
      <c r="E21" s="18" t="s">
        <v>114</v>
      </c>
      <c r="F21" s="18" t="s">
        <v>153</v>
      </c>
    </row>
    <row r="22" spans="5:6" ht="15">
      <c r="E22" s="18" t="s">
        <v>115</v>
      </c>
      <c r="F22" s="18" t="s">
        <v>692</v>
      </c>
    </row>
    <row r="23" spans="5:6" ht="15">
      <c r="E23" s="18" t="s">
        <v>115</v>
      </c>
      <c r="F23" s="18" t="s">
        <v>691</v>
      </c>
    </row>
    <row r="24" ht="15">
      <c r="E24" s="18"/>
    </row>
    <row r="25" ht="15">
      <c r="E25" s="18"/>
    </row>
    <row r="27" spans="1:2" ht="18">
      <c r="A27" s="19" t="s">
        <v>116</v>
      </c>
      <c r="B27" s="19"/>
    </row>
    <row r="28" spans="1:2" ht="15">
      <c r="A28" s="20" t="s">
        <v>136</v>
      </c>
      <c r="B28" s="20"/>
    </row>
    <row r="29" spans="1:2" ht="14.25">
      <c r="A29" s="22"/>
      <c r="B29" s="23" t="s">
        <v>279</v>
      </c>
    </row>
    <row r="30" spans="1:5" ht="15">
      <c r="A30" s="24" t="s">
        <v>119</v>
      </c>
      <c r="B30" s="24" t="s">
        <v>120</v>
      </c>
      <c r="C30" s="24" t="s">
        <v>121</v>
      </c>
      <c r="D30" s="24" t="s">
        <v>122</v>
      </c>
      <c r="E30" s="24" t="s">
        <v>123</v>
      </c>
    </row>
    <row r="31" spans="1:5" ht="12.75">
      <c r="A31" s="21" t="s">
        <v>490</v>
      </c>
      <c r="B31" s="4" t="s">
        <v>124</v>
      </c>
      <c r="C31" s="4" t="s">
        <v>65</v>
      </c>
      <c r="D31" s="4" t="s">
        <v>319</v>
      </c>
      <c r="E31" s="25" t="s">
        <v>1027</v>
      </c>
    </row>
    <row r="32" spans="1:5" ht="12.75">
      <c r="A32" s="21" t="s">
        <v>492</v>
      </c>
      <c r="B32" s="4" t="s">
        <v>124</v>
      </c>
      <c r="C32" s="4" t="s">
        <v>40</v>
      </c>
      <c r="D32" s="4" t="s">
        <v>161</v>
      </c>
      <c r="E32" s="25" t="s">
        <v>1026</v>
      </c>
    </row>
    <row r="34" spans="1:5" s="3" customFormat="1" ht="14.25">
      <c r="A34" s="22"/>
      <c r="B34" s="23" t="s">
        <v>127</v>
      </c>
      <c r="C34" s="4"/>
      <c r="D34" s="4"/>
      <c r="E34" s="4"/>
    </row>
    <row r="35" spans="1:5" s="3" customFormat="1" ht="15">
      <c r="A35" s="24" t="s">
        <v>119</v>
      </c>
      <c r="B35" s="24" t="s">
        <v>120</v>
      </c>
      <c r="C35" s="24" t="s">
        <v>121</v>
      </c>
      <c r="D35" s="24" t="s">
        <v>122</v>
      </c>
      <c r="E35" s="24" t="s">
        <v>123</v>
      </c>
    </row>
    <row r="36" spans="1:5" s="3" customFormat="1" ht="12.75">
      <c r="A36" s="21" t="s">
        <v>504</v>
      </c>
      <c r="B36" s="4" t="s">
        <v>127</v>
      </c>
      <c r="C36" s="4" t="s">
        <v>37</v>
      </c>
      <c r="D36" s="4" t="s">
        <v>313</v>
      </c>
      <c r="E36" s="25" t="s">
        <v>1025</v>
      </c>
    </row>
    <row r="37" spans="1:5" s="3" customFormat="1" ht="12.75">
      <c r="A37" s="21" t="s">
        <v>632</v>
      </c>
      <c r="B37" s="4" t="s">
        <v>127</v>
      </c>
      <c r="C37" s="4" t="s">
        <v>37</v>
      </c>
      <c r="D37" s="4" t="s">
        <v>400</v>
      </c>
      <c r="E37" s="25" t="s">
        <v>1024</v>
      </c>
    </row>
    <row r="38" spans="1:5" s="3" customFormat="1" ht="12.75">
      <c r="A38" s="21" t="s">
        <v>810</v>
      </c>
      <c r="B38" s="4" t="s">
        <v>127</v>
      </c>
      <c r="C38" s="4" t="s">
        <v>65</v>
      </c>
      <c r="D38" s="4" t="s">
        <v>54</v>
      </c>
      <c r="E38" s="25" t="s">
        <v>1023</v>
      </c>
    </row>
    <row r="39" spans="1:5" s="3" customFormat="1" ht="12.75">
      <c r="A39" s="21" t="s">
        <v>789</v>
      </c>
      <c r="B39" s="4" t="s">
        <v>127</v>
      </c>
      <c r="C39" s="4" t="s">
        <v>37</v>
      </c>
      <c r="D39" s="4" t="s">
        <v>580</v>
      </c>
      <c r="E39" s="25" t="s">
        <v>1022</v>
      </c>
    </row>
    <row r="41" spans="1:5" s="3" customFormat="1" ht="14.25">
      <c r="A41" s="22"/>
      <c r="B41" s="23" t="s">
        <v>133</v>
      </c>
      <c r="C41" s="4"/>
      <c r="D41" s="4"/>
      <c r="E41" s="4"/>
    </row>
    <row r="42" spans="1:5" s="3" customFormat="1" ht="15">
      <c r="A42" s="24" t="s">
        <v>119</v>
      </c>
      <c r="B42" s="24" t="s">
        <v>120</v>
      </c>
      <c r="C42" s="24" t="s">
        <v>121</v>
      </c>
      <c r="D42" s="24" t="s">
        <v>122</v>
      </c>
      <c r="E42" s="24" t="s">
        <v>123</v>
      </c>
    </row>
    <row r="43" spans="1:5" s="3" customFormat="1" ht="12.75">
      <c r="A43" s="21" t="s">
        <v>672</v>
      </c>
      <c r="B43" s="4" t="s">
        <v>149</v>
      </c>
      <c r="C43" s="4" t="s">
        <v>37</v>
      </c>
      <c r="D43" s="4" t="s">
        <v>56</v>
      </c>
      <c r="E43" s="25" t="s">
        <v>1021</v>
      </c>
    </row>
    <row r="44" spans="1:5" s="3" customFormat="1" ht="12.75">
      <c r="A44" s="21" t="s">
        <v>669</v>
      </c>
      <c r="B44" s="4" t="s">
        <v>134</v>
      </c>
      <c r="C44" s="4" t="s">
        <v>40</v>
      </c>
      <c r="D44" s="4" t="s">
        <v>54</v>
      </c>
      <c r="E44" s="25" t="s">
        <v>1020</v>
      </c>
    </row>
    <row r="49" spans="1:3" s="3" customFormat="1" ht="18">
      <c r="A49" s="19" t="s">
        <v>658</v>
      </c>
      <c r="B49" s="19"/>
      <c r="C49" s="4"/>
    </row>
    <row r="50" spans="1:3" s="3" customFormat="1" ht="15">
      <c r="A50" s="24" t="s">
        <v>657</v>
      </c>
      <c r="B50" s="24" t="s">
        <v>656</v>
      </c>
      <c r="C50" s="24" t="s">
        <v>655</v>
      </c>
    </row>
    <row r="51" spans="1:3" s="3" customFormat="1" ht="12.75">
      <c r="A51" s="4" t="s">
        <v>93</v>
      </c>
      <c r="B51" s="4" t="s">
        <v>1019</v>
      </c>
      <c r="C51" s="4" t="s">
        <v>1018</v>
      </c>
    </row>
    <row r="52" spans="1:3" s="3" customFormat="1" ht="12.75">
      <c r="A52" s="4" t="s">
        <v>448</v>
      </c>
      <c r="B52" s="4" t="s">
        <v>771</v>
      </c>
      <c r="C52" s="4" t="s">
        <v>1017</v>
      </c>
    </row>
  </sheetData>
  <sheetProtection/>
  <mergeCells count="14">
    <mergeCell ref="F3:F4"/>
    <mergeCell ref="G3:J3"/>
    <mergeCell ref="K3:K4"/>
    <mergeCell ref="L3:L4"/>
    <mergeCell ref="M3:M4"/>
    <mergeCell ref="A5:L5"/>
    <mergeCell ref="A9:L9"/>
    <mergeCell ref="A13:L13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0.25390625" style="0" bestFit="1" customWidth="1"/>
    <col min="7" max="7" width="22.25390625" style="0" bestFit="1" customWidth="1"/>
    <col min="8" max="9" width="5.625" style="0" bestFit="1" customWidth="1"/>
    <col min="10" max="10" width="4.87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41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14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1"/>
    </row>
    <row r="5" spans="1:13" ht="15">
      <c r="A5" s="38" t="s">
        <v>100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</row>
    <row r="6" spans="1:13" ht="12.75">
      <c r="A6" s="9" t="s">
        <v>202</v>
      </c>
      <c r="B6" s="9" t="s">
        <v>203</v>
      </c>
      <c r="C6" s="9" t="s">
        <v>204</v>
      </c>
      <c r="D6" s="9" t="str">
        <f>"0,5575"</f>
        <v>0,5575</v>
      </c>
      <c r="E6" s="9" t="s">
        <v>205</v>
      </c>
      <c r="F6" s="9" t="s">
        <v>34</v>
      </c>
      <c r="G6" s="10" t="s">
        <v>139</v>
      </c>
      <c r="H6" s="11" t="s">
        <v>206</v>
      </c>
      <c r="I6" s="11" t="s">
        <v>206</v>
      </c>
      <c r="J6" s="11"/>
      <c r="K6" s="9" t="str">
        <f>"350,0"</f>
        <v>350,0</v>
      </c>
      <c r="L6" s="10" t="str">
        <f>"195,1250"</f>
        <v>195,1250</v>
      </c>
      <c r="M6" s="9" t="s">
        <v>28</v>
      </c>
    </row>
    <row r="7" spans="1:13" ht="12.75">
      <c r="A7" s="15" t="s">
        <v>207</v>
      </c>
      <c r="B7" s="15" t="s">
        <v>208</v>
      </c>
      <c r="C7" s="15" t="s">
        <v>209</v>
      </c>
      <c r="D7" s="15" t="str">
        <f>"0,5543"</f>
        <v>0,5543</v>
      </c>
      <c r="E7" s="15" t="s">
        <v>210</v>
      </c>
      <c r="F7" s="15" t="s">
        <v>20</v>
      </c>
      <c r="G7" s="17" t="s">
        <v>211</v>
      </c>
      <c r="H7" s="16" t="s">
        <v>211</v>
      </c>
      <c r="I7" s="17" t="s">
        <v>110</v>
      </c>
      <c r="J7" s="17"/>
      <c r="K7" s="15" t="str">
        <f>"252,5"</f>
        <v>252,5</v>
      </c>
      <c r="L7" s="16" t="str">
        <f>"169,2125"</f>
        <v>169,2125</v>
      </c>
      <c r="M7" s="15" t="s">
        <v>212</v>
      </c>
    </row>
    <row r="8" spans="1:13" ht="12.75">
      <c r="A8" s="4"/>
      <c r="B8" s="4"/>
      <c r="C8" s="4"/>
      <c r="D8" s="4"/>
      <c r="E8" s="4"/>
      <c r="F8" s="4"/>
      <c r="G8" s="3"/>
      <c r="H8" s="3"/>
      <c r="I8" s="3"/>
      <c r="J8" s="3"/>
      <c r="K8" s="4"/>
      <c r="L8" s="3"/>
      <c r="M8" s="4"/>
    </row>
    <row r="9" spans="1:13" ht="15">
      <c r="A9" s="4"/>
      <c r="B9" s="4"/>
      <c r="C9" s="4"/>
      <c r="D9" s="4"/>
      <c r="E9" s="18" t="s">
        <v>112</v>
      </c>
      <c r="F9" s="4"/>
      <c r="G9" s="18" t="s">
        <v>151</v>
      </c>
      <c r="H9" s="3"/>
      <c r="I9" s="3"/>
      <c r="J9" s="3"/>
      <c r="K9" s="4"/>
      <c r="L9" s="3"/>
      <c r="M9" s="4"/>
    </row>
    <row r="10" spans="1:13" ht="15">
      <c r="A10" s="4"/>
      <c r="B10" s="4"/>
      <c r="C10" s="4"/>
      <c r="D10" s="4"/>
      <c r="E10" s="18" t="s">
        <v>113</v>
      </c>
      <c r="F10" s="4"/>
      <c r="G10" s="18" t="s">
        <v>152</v>
      </c>
      <c r="H10" s="3"/>
      <c r="I10" s="3"/>
      <c r="J10" s="3"/>
      <c r="K10" s="4"/>
      <c r="L10" s="3"/>
      <c r="M10" s="4"/>
    </row>
    <row r="11" spans="1:13" ht="15">
      <c r="A11" s="4"/>
      <c r="B11" s="4"/>
      <c r="C11" s="4"/>
      <c r="D11" s="4"/>
      <c r="E11" s="18" t="s">
        <v>114</v>
      </c>
      <c r="F11" s="4"/>
      <c r="G11" s="18" t="s">
        <v>153</v>
      </c>
      <c r="H11" s="3"/>
      <c r="I11" s="3"/>
      <c r="J11" s="3"/>
      <c r="K11" s="4"/>
      <c r="L11" s="3"/>
      <c r="M11" s="4"/>
    </row>
    <row r="12" spans="1:13" ht="15">
      <c r="A12" s="4"/>
      <c r="B12" s="4"/>
      <c r="C12" s="4"/>
      <c r="D12" s="4"/>
      <c r="E12" s="18" t="s">
        <v>115</v>
      </c>
      <c r="F12" s="4"/>
      <c r="G12" s="18" t="s">
        <v>154</v>
      </c>
      <c r="H12" s="3"/>
      <c r="I12" s="3"/>
      <c r="J12" s="3"/>
      <c r="K12" s="4"/>
      <c r="L12" s="3"/>
      <c r="M12" s="4"/>
    </row>
    <row r="13" spans="1:13" ht="15">
      <c r="A13" s="4"/>
      <c r="B13" s="4"/>
      <c r="C13" s="4"/>
      <c r="D13" s="4"/>
      <c r="E13" s="18" t="s">
        <v>115</v>
      </c>
      <c r="F13" s="4"/>
      <c r="G13" s="18" t="s">
        <v>155</v>
      </c>
      <c r="H13" s="3"/>
      <c r="I13" s="3"/>
      <c r="J13" s="3"/>
      <c r="K13" s="4"/>
      <c r="L13" s="3"/>
      <c r="M13" s="4"/>
    </row>
    <row r="14" spans="1:13" ht="15">
      <c r="A14" s="4"/>
      <c r="B14" s="4"/>
      <c r="C14" s="4"/>
      <c r="D14" s="4"/>
      <c r="E14" s="18"/>
      <c r="F14" s="4"/>
      <c r="G14" s="3"/>
      <c r="H14" s="3"/>
      <c r="I14" s="3"/>
      <c r="J14" s="3"/>
      <c r="K14" s="4"/>
      <c r="L14" s="3"/>
      <c r="M14" s="4"/>
    </row>
    <row r="15" spans="1:13" ht="15">
      <c r="A15" s="4"/>
      <c r="B15" s="4"/>
      <c r="C15" s="4"/>
      <c r="D15" s="4"/>
      <c r="E15" s="18"/>
      <c r="F15" s="4"/>
      <c r="G15" s="3"/>
      <c r="H15" s="3"/>
      <c r="I15" s="3"/>
      <c r="J15" s="3"/>
      <c r="K15" s="4"/>
      <c r="L15" s="3"/>
      <c r="M15" s="4"/>
    </row>
    <row r="16" spans="1:13" ht="12.75">
      <c r="A16" s="4"/>
      <c r="B16" s="4"/>
      <c r="C16" s="4"/>
      <c r="D16" s="4"/>
      <c r="E16" s="4"/>
      <c r="F16" s="4"/>
      <c r="G16" s="3"/>
      <c r="H16" s="3"/>
      <c r="I16" s="3"/>
      <c r="J16" s="3"/>
      <c r="K16" s="4"/>
      <c r="L16" s="3"/>
      <c r="M16" s="4"/>
    </row>
    <row r="17" spans="1:13" ht="18">
      <c r="A17" s="19" t="s">
        <v>116</v>
      </c>
      <c r="B17" s="19"/>
      <c r="C17" s="4"/>
      <c r="D17" s="4"/>
      <c r="E17" s="4"/>
      <c r="F17" s="4"/>
      <c r="G17" s="3"/>
      <c r="H17" s="3"/>
      <c r="I17" s="3"/>
      <c r="J17" s="3"/>
      <c r="K17" s="4"/>
      <c r="L17" s="3"/>
      <c r="M17" s="4"/>
    </row>
    <row r="18" spans="1:13" ht="15">
      <c r="A18" s="20" t="s">
        <v>136</v>
      </c>
      <c r="B18" s="20"/>
      <c r="C18" s="4"/>
      <c r="D18" s="4"/>
      <c r="E18" s="4"/>
      <c r="F18" s="4"/>
      <c r="G18" s="3"/>
      <c r="H18" s="3"/>
      <c r="I18" s="3"/>
      <c r="J18" s="3"/>
      <c r="K18" s="4"/>
      <c r="L18" s="3"/>
      <c r="M18" s="4"/>
    </row>
    <row r="19" spans="1:13" ht="14.25">
      <c r="A19" s="22"/>
      <c r="B19" s="23" t="s">
        <v>127</v>
      </c>
      <c r="C19" s="4"/>
      <c r="D19" s="4"/>
      <c r="E19" s="4"/>
      <c r="F19" s="4"/>
      <c r="G19" s="3"/>
      <c r="H19" s="3"/>
      <c r="I19" s="3"/>
      <c r="J19" s="3"/>
      <c r="K19" s="4"/>
      <c r="L19" s="3"/>
      <c r="M19" s="4"/>
    </row>
    <row r="20" spans="1:13" ht="15">
      <c r="A20" s="24" t="s">
        <v>119</v>
      </c>
      <c r="B20" s="24" t="s">
        <v>120</v>
      </c>
      <c r="C20" s="24" t="s">
        <v>121</v>
      </c>
      <c r="D20" s="24" t="s">
        <v>122</v>
      </c>
      <c r="E20" s="24" t="s">
        <v>123</v>
      </c>
      <c r="F20" s="4"/>
      <c r="G20" s="3"/>
      <c r="H20" s="3"/>
      <c r="I20" s="3"/>
      <c r="J20" s="3"/>
      <c r="K20" s="4"/>
      <c r="L20" s="3"/>
      <c r="M20" s="4"/>
    </row>
    <row r="21" spans="1:13" ht="12.75">
      <c r="A21" s="21" t="s">
        <v>213</v>
      </c>
      <c r="B21" s="4" t="s">
        <v>127</v>
      </c>
      <c r="C21" s="4" t="s">
        <v>37</v>
      </c>
      <c r="D21" s="4" t="s">
        <v>139</v>
      </c>
      <c r="E21" s="25" t="s">
        <v>214</v>
      </c>
      <c r="F21" s="4"/>
      <c r="G21" s="3"/>
      <c r="H21" s="3"/>
      <c r="I21" s="3"/>
      <c r="J21" s="3"/>
      <c r="K21" s="4"/>
      <c r="L21" s="3"/>
      <c r="M21" s="4"/>
    </row>
    <row r="22" spans="1:13" ht="12.75">
      <c r="A22" s="4"/>
      <c r="B22" s="4"/>
      <c r="C22" s="4"/>
      <c r="D22" s="4"/>
      <c r="E22" s="4"/>
      <c r="F22" s="4"/>
      <c r="G22" s="3"/>
      <c r="H22" s="3"/>
      <c r="I22" s="3"/>
      <c r="J22" s="3"/>
      <c r="K22" s="4"/>
      <c r="L22" s="3"/>
      <c r="M22" s="4"/>
    </row>
    <row r="23" spans="1:13" ht="14.25">
      <c r="A23" s="22"/>
      <c r="B23" s="23" t="s">
        <v>133</v>
      </c>
      <c r="C23" s="4"/>
      <c r="D23" s="4"/>
      <c r="E23" s="4"/>
      <c r="F23" s="4"/>
      <c r="G23" s="3"/>
      <c r="H23" s="3"/>
      <c r="I23" s="3"/>
      <c r="J23" s="3"/>
      <c r="K23" s="4"/>
      <c r="L23" s="3"/>
      <c r="M23" s="4"/>
    </row>
    <row r="24" spans="1:13" ht="15">
      <c r="A24" s="24" t="s">
        <v>119</v>
      </c>
      <c r="B24" s="24" t="s">
        <v>120</v>
      </c>
      <c r="C24" s="24" t="s">
        <v>121</v>
      </c>
      <c r="D24" s="24" t="s">
        <v>122</v>
      </c>
      <c r="E24" s="24" t="s">
        <v>123</v>
      </c>
      <c r="F24" s="4"/>
      <c r="G24" s="3"/>
      <c r="H24" s="3"/>
      <c r="I24" s="3"/>
      <c r="J24" s="3"/>
      <c r="K24" s="4"/>
      <c r="L24" s="3"/>
      <c r="M24" s="4"/>
    </row>
    <row r="25" spans="1:13" ht="12.75">
      <c r="A25" s="21" t="s">
        <v>215</v>
      </c>
      <c r="B25" s="4" t="s">
        <v>197</v>
      </c>
      <c r="C25" s="4" t="s">
        <v>37</v>
      </c>
      <c r="D25" s="4" t="s">
        <v>211</v>
      </c>
      <c r="E25" s="25" t="s">
        <v>216</v>
      </c>
      <c r="F25" s="4"/>
      <c r="G25" s="3"/>
      <c r="H25" s="3"/>
      <c r="I25" s="3"/>
      <c r="J25" s="3"/>
      <c r="K25" s="4"/>
      <c r="L25" s="3"/>
      <c r="M25" s="4"/>
    </row>
  </sheetData>
  <sheetProtection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C31" sqref="C31"/>
    </sheetView>
  </sheetViews>
  <sheetFormatPr defaultColWidth="9.25390625" defaultRowHeight="12.75"/>
  <cols>
    <col min="1" max="1" width="26.00390625" style="0" bestFit="1" customWidth="1"/>
    <col min="2" max="2" width="29.00390625" style="0" bestFit="1" customWidth="1"/>
    <col min="3" max="3" width="10.625" style="0" bestFit="1" customWidth="1"/>
    <col min="4" max="4" width="9.25390625" style="0" customWidth="1"/>
    <col min="5" max="5" width="22.75390625" style="0" bestFit="1" customWidth="1"/>
    <col min="6" max="6" width="29.00390625" style="0" bestFit="1" customWidth="1"/>
    <col min="7" max="7" width="22.25390625" style="0" bestFit="1" customWidth="1"/>
    <col min="8" max="8" width="6.625" style="0" bestFit="1" customWidth="1"/>
    <col min="9" max="10" width="5.62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41" t="s">
        <v>217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12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1"/>
    </row>
    <row r="5" spans="1:13" ht="15">
      <c r="A5" s="38" t="s">
        <v>79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</row>
    <row r="6" spans="1:13" ht="12.75">
      <c r="A6" s="6" t="s">
        <v>218</v>
      </c>
      <c r="B6" s="6" t="s">
        <v>219</v>
      </c>
      <c r="C6" s="6" t="s">
        <v>220</v>
      </c>
      <c r="D6" s="6" t="str">
        <f>"0,7297"</f>
        <v>0,7297</v>
      </c>
      <c r="E6" s="6" t="s">
        <v>205</v>
      </c>
      <c r="F6" s="6" t="s">
        <v>34</v>
      </c>
      <c r="G6" s="7" t="s">
        <v>221</v>
      </c>
      <c r="H6" s="8" t="s">
        <v>125</v>
      </c>
      <c r="I6" s="7" t="s">
        <v>125</v>
      </c>
      <c r="J6" s="8" t="s">
        <v>95</v>
      </c>
      <c r="K6" s="6" t="str">
        <f>"170,0"</f>
        <v>170,0</v>
      </c>
      <c r="L6" s="7" t="str">
        <f>"124,0490"</f>
        <v>124,0490</v>
      </c>
      <c r="M6" s="6" t="s">
        <v>28</v>
      </c>
    </row>
    <row r="7" spans="1:13" ht="12.75">
      <c r="A7" s="4"/>
      <c r="B7" s="4"/>
      <c r="C7" s="4"/>
      <c r="D7" s="4"/>
      <c r="E7" s="4"/>
      <c r="F7" s="4"/>
      <c r="G7" s="3"/>
      <c r="H7" s="3"/>
      <c r="I7" s="3"/>
      <c r="J7" s="3"/>
      <c r="K7" s="4"/>
      <c r="L7" s="3"/>
      <c r="M7" s="4"/>
    </row>
    <row r="8" spans="1:13" ht="15">
      <c r="A8" s="37" t="s">
        <v>169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4"/>
    </row>
    <row r="9" spans="1:13" ht="12.75">
      <c r="A9" s="6" t="s">
        <v>222</v>
      </c>
      <c r="B9" s="6" t="s">
        <v>223</v>
      </c>
      <c r="C9" s="6" t="s">
        <v>224</v>
      </c>
      <c r="D9" s="6" t="str">
        <f>"0,6219"</f>
        <v>0,6219</v>
      </c>
      <c r="E9" s="6" t="s">
        <v>205</v>
      </c>
      <c r="F9" s="6" t="s">
        <v>225</v>
      </c>
      <c r="G9" s="7" t="s">
        <v>77</v>
      </c>
      <c r="H9" s="7" t="s">
        <v>226</v>
      </c>
      <c r="I9" s="8" t="s">
        <v>227</v>
      </c>
      <c r="J9" s="8"/>
      <c r="K9" s="6" t="str">
        <f>"190,0"</f>
        <v>190,0</v>
      </c>
      <c r="L9" s="7" t="str">
        <f>"118,1610"</f>
        <v>118,1610</v>
      </c>
      <c r="M9" s="6" t="s">
        <v>28</v>
      </c>
    </row>
    <row r="10" spans="1:13" ht="12.75">
      <c r="A10" s="4"/>
      <c r="B10" s="4"/>
      <c r="C10" s="4"/>
      <c r="D10" s="4"/>
      <c r="E10" s="4"/>
      <c r="F10" s="4"/>
      <c r="G10" s="3"/>
      <c r="H10" s="3"/>
      <c r="I10" s="3"/>
      <c r="J10" s="3"/>
      <c r="K10" s="4"/>
      <c r="L10" s="3"/>
      <c r="M10" s="4"/>
    </row>
    <row r="11" spans="1:13" ht="15">
      <c r="A11" s="37" t="s">
        <v>100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"/>
    </row>
    <row r="12" spans="1:13" ht="12.75">
      <c r="A12" s="6" t="s">
        <v>228</v>
      </c>
      <c r="B12" s="6" t="s">
        <v>229</v>
      </c>
      <c r="C12" s="6" t="s">
        <v>230</v>
      </c>
      <c r="D12" s="6" t="str">
        <f>"0,5710"</f>
        <v>0,5710</v>
      </c>
      <c r="E12" s="6" t="s">
        <v>47</v>
      </c>
      <c r="F12" s="6" t="s">
        <v>48</v>
      </c>
      <c r="G12" s="7" t="s">
        <v>142</v>
      </c>
      <c r="H12" s="7" t="s">
        <v>176</v>
      </c>
      <c r="I12" s="8" t="s">
        <v>231</v>
      </c>
      <c r="J12" s="8"/>
      <c r="K12" s="6" t="str">
        <f>"220,0"</f>
        <v>220,0</v>
      </c>
      <c r="L12" s="7" t="str">
        <f>"125,6200"</f>
        <v>125,6200</v>
      </c>
      <c r="M12" s="6" t="s">
        <v>28</v>
      </c>
    </row>
    <row r="13" spans="1:13" ht="12.75">
      <c r="A13" s="4"/>
      <c r="B13" s="4"/>
      <c r="C13" s="4"/>
      <c r="D13" s="4"/>
      <c r="E13" s="4"/>
      <c r="F13" s="4"/>
      <c r="G13" s="3"/>
      <c r="H13" s="3"/>
      <c r="I13" s="3"/>
      <c r="J13" s="3"/>
      <c r="K13" s="4"/>
      <c r="L13" s="3"/>
      <c r="M13" s="4"/>
    </row>
    <row r="14" spans="1:13" ht="15">
      <c r="A14" s="4"/>
      <c r="B14" s="4"/>
      <c r="C14" s="4"/>
      <c r="D14" s="4"/>
      <c r="E14" s="18" t="s">
        <v>112</v>
      </c>
      <c r="F14" s="4"/>
      <c r="G14" s="18" t="s">
        <v>151</v>
      </c>
      <c r="H14" s="3"/>
      <c r="I14" s="3"/>
      <c r="J14" s="3"/>
      <c r="K14" s="4"/>
      <c r="L14" s="3"/>
      <c r="M14" s="4"/>
    </row>
    <row r="15" spans="1:13" ht="15">
      <c r="A15" s="4"/>
      <c r="B15" s="4"/>
      <c r="C15" s="4"/>
      <c r="D15" s="4"/>
      <c r="E15" s="18" t="s">
        <v>113</v>
      </c>
      <c r="F15" s="4"/>
      <c r="G15" s="18" t="s">
        <v>152</v>
      </c>
      <c r="H15" s="3"/>
      <c r="I15" s="3"/>
      <c r="J15" s="3"/>
      <c r="K15" s="4"/>
      <c r="L15" s="3"/>
      <c r="M15" s="4"/>
    </row>
    <row r="16" spans="1:13" ht="15">
      <c r="A16" s="4"/>
      <c r="B16" s="4"/>
      <c r="C16" s="4"/>
      <c r="D16" s="4"/>
      <c r="E16" s="18" t="s">
        <v>114</v>
      </c>
      <c r="F16" s="4"/>
      <c r="G16" s="18" t="s">
        <v>153</v>
      </c>
      <c r="H16" s="3"/>
      <c r="I16" s="3"/>
      <c r="J16" s="3"/>
      <c r="K16" s="4"/>
      <c r="L16" s="3"/>
      <c r="M16" s="4"/>
    </row>
    <row r="17" spans="1:13" ht="15">
      <c r="A17" s="4"/>
      <c r="B17" s="4"/>
      <c r="C17" s="4"/>
      <c r="D17" s="4"/>
      <c r="E17" s="18" t="s">
        <v>115</v>
      </c>
      <c r="F17" s="4"/>
      <c r="G17" s="18" t="s">
        <v>154</v>
      </c>
      <c r="H17" s="3"/>
      <c r="I17" s="3"/>
      <c r="J17" s="3"/>
      <c r="K17" s="4"/>
      <c r="L17" s="3"/>
      <c r="M17" s="4"/>
    </row>
    <row r="18" spans="1:13" ht="15">
      <c r="A18" s="4"/>
      <c r="B18" s="4"/>
      <c r="C18" s="4"/>
      <c r="D18" s="4"/>
      <c r="E18" s="18" t="s">
        <v>115</v>
      </c>
      <c r="F18" s="4"/>
      <c r="G18" s="18" t="s">
        <v>155</v>
      </c>
      <c r="H18" s="3"/>
      <c r="I18" s="3"/>
      <c r="J18" s="3"/>
      <c r="K18" s="4"/>
      <c r="L18" s="3"/>
      <c r="M18" s="4"/>
    </row>
    <row r="19" spans="1:13" ht="15">
      <c r="A19" s="4"/>
      <c r="B19" s="4"/>
      <c r="C19" s="4"/>
      <c r="D19" s="4"/>
      <c r="E19" s="18"/>
      <c r="F19" s="4"/>
      <c r="G19" s="3"/>
      <c r="H19" s="3"/>
      <c r="I19" s="3"/>
      <c r="J19" s="3"/>
      <c r="K19" s="4"/>
      <c r="L19" s="3"/>
      <c r="M19" s="4"/>
    </row>
    <row r="20" spans="1:13" ht="15">
      <c r="A20" s="4"/>
      <c r="B20" s="4"/>
      <c r="C20" s="4"/>
      <c r="D20" s="4"/>
      <c r="E20" s="18"/>
      <c r="F20" s="4"/>
      <c r="G20" s="3"/>
      <c r="H20" s="3"/>
      <c r="I20" s="3"/>
      <c r="J20" s="3"/>
      <c r="K20" s="4"/>
      <c r="L20" s="3"/>
      <c r="M20" s="4"/>
    </row>
    <row r="21" spans="1:13" ht="12.75">
      <c r="A21" s="4"/>
      <c r="B21" s="4"/>
      <c r="C21" s="4"/>
      <c r="D21" s="4"/>
      <c r="E21" s="4"/>
      <c r="F21" s="4"/>
      <c r="G21" s="3"/>
      <c r="H21" s="3"/>
      <c r="I21" s="3"/>
      <c r="J21" s="3"/>
      <c r="K21" s="4"/>
      <c r="L21" s="3"/>
      <c r="M21" s="4"/>
    </row>
    <row r="22" spans="1:13" ht="18">
      <c r="A22" s="19" t="s">
        <v>116</v>
      </c>
      <c r="B22" s="19"/>
      <c r="C22" s="4"/>
      <c r="D22" s="4"/>
      <c r="E22" s="4"/>
      <c r="F22" s="4"/>
      <c r="G22" s="3"/>
      <c r="H22" s="3"/>
      <c r="I22" s="3"/>
      <c r="J22" s="3"/>
      <c r="K22" s="4"/>
      <c r="L22" s="3"/>
      <c r="M22" s="4"/>
    </row>
    <row r="23" spans="1:13" ht="15">
      <c r="A23" s="20" t="s">
        <v>117</v>
      </c>
      <c r="B23" s="20"/>
      <c r="C23" s="4"/>
      <c r="D23" s="4"/>
      <c r="E23" s="4"/>
      <c r="F23" s="4"/>
      <c r="G23" s="3"/>
      <c r="H23" s="3"/>
      <c r="I23" s="3"/>
      <c r="J23" s="3"/>
      <c r="K23" s="4"/>
      <c r="L23" s="3"/>
      <c r="M23" s="4"/>
    </row>
    <row r="24" spans="1:13" ht="14.25">
      <c r="A24" s="22"/>
      <c r="B24" s="23" t="s">
        <v>118</v>
      </c>
      <c r="C24" s="4"/>
      <c r="D24" s="4"/>
      <c r="E24" s="4"/>
      <c r="F24" s="4"/>
      <c r="G24" s="3"/>
      <c r="H24" s="3"/>
      <c r="I24" s="3"/>
      <c r="J24" s="3"/>
      <c r="K24" s="4"/>
      <c r="L24" s="3"/>
      <c r="M24" s="4"/>
    </row>
    <row r="25" spans="1:13" ht="15">
      <c r="A25" s="24" t="s">
        <v>119</v>
      </c>
      <c r="B25" s="24" t="s">
        <v>120</v>
      </c>
      <c r="C25" s="24" t="s">
        <v>121</v>
      </c>
      <c r="D25" s="24" t="s">
        <v>122</v>
      </c>
      <c r="E25" s="24" t="s">
        <v>123</v>
      </c>
      <c r="F25" s="4"/>
      <c r="G25" s="3"/>
      <c r="H25" s="3"/>
      <c r="I25" s="3"/>
      <c r="J25" s="3"/>
      <c r="K25" s="4"/>
      <c r="L25" s="3"/>
      <c r="M25" s="4"/>
    </row>
    <row r="26" spans="1:13" ht="12.75">
      <c r="A26" s="21" t="s">
        <v>232</v>
      </c>
      <c r="B26" s="4" t="s">
        <v>124</v>
      </c>
      <c r="C26" s="4" t="s">
        <v>65</v>
      </c>
      <c r="D26" s="4" t="s">
        <v>125</v>
      </c>
      <c r="E26" s="25" t="s">
        <v>233</v>
      </c>
      <c r="F26" s="4"/>
      <c r="G26" s="3"/>
      <c r="H26" s="3"/>
      <c r="I26" s="3"/>
      <c r="J26" s="3"/>
      <c r="K26" s="4"/>
      <c r="L26" s="3"/>
      <c r="M26" s="4"/>
    </row>
    <row r="27" spans="1:13" ht="12.75">
      <c r="A27" s="4"/>
      <c r="B27" s="4"/>
      <c r="C27" s="4"/>
      <c r="D27" s="4"/>
      <c r="E27" s="4"/>
      <c r="F27" s="4"/>
      <c r="G27" s="3"/>
      <c r="H27" s="3"/>
      <c r="I27" s="3"/>
      <c r="J27" s="3"/>
      <c r="K27" s="4"/>
      <c r="L27" s="3"/>
      <c r="M27" s="4"/>
    </row>
    <row r="28" spans="1:13" ht="12.75">
      <c r="A28" s="4"/>
      <c r="B28" s="4"/>
      <c r="C28" s="4"/>
      <c r="D28" s="4"/>
      <c r="E28" s="4"/>
      <c r="F28" s="4"/>
      <c r="G28" s="3"/>
      <c r="H28" s="3"/>
      <c r="I28" s="3"/>
      <c r="J28" s="3"/>
      <c r="K28" s="4"/>
      <c r="L28" s="3"/>
      <c r="M28" s="4"/>
    </row>
    <row r="29" spans="1:13" ht="15">
      <c r="A29" s="20" t="s">
        <v>136</v>
      </c>
      <c r="B29" s="20"/>
      <c r="C29" s="4"/>
      <c r="D29" s="4"/>
      <c r="E29" s="4"/>
      <c r="F29" s="4"/>
      <c r="G29" s="3"/>
      <c r="H29" s="3"/>
      <c r="I29" s="3"/>
      <c r="J29" s="3"/>
      <c r="K29" s="4"/>
      <c r="L29" s="3"/>
      <c r="M29" s="4"/>
    </row>
    <row r="30" spans="1:13" ht="14.25">
      <c r="A30" s="22"/>
      <c r="B30" s="23" t="s">
        <v>127</v>
      </c>
      <c r="C30" s="4"/>
      <c r="D30" s="4"/>
      <c r="E30" s="4"/>
      <c r="F30" s="4"/>
      <c r="G30" s="3"/>
      <c r="H30" s="3"/>
      <c r="I30" s="3"/>
      <c r="J30" s="3"/>
      <c r="K30" s="4"/>
      <c r="L30" s="3"/>
      <c r="M30" s="4"/>
    </row>
    <row r="31" spans="1:13" ht="15">
      <c r="A31" s="24" t="s">
        <v>119</v>
      </c>
      <c r="B31" s="24" t="s">
        <v>120</v>
      </c>
      <c r="C31" s="24" t="s">
        <v>121</v>
      </c>
      <c r="D31" s="24" t="s">
        <v>122</v>
      </c>
      <c r="E31" s="24" t="s">
        <v>123</v>
      </c>
      <c r="F31" s="4"/>
      <c r="G31" s="3"/>
      <c r="H31" s="3"/>
      <c r="I31" s="3"/>
      <c r="J31" s="3"/>
      <c r="K31" s="4"/>
      <c r="L31" s="3"/>
      <c r="M31" s="4"/>
    </row>
    <row r="32" spans="1:13" ht="12.75">
      <c r="A32" s="21" t="s">
        <v>234</v>
      </c>
      <c r="B32" s="4" t="s">
        <v>127</v>
      </c>
      <c r="C32" s="4" t="s">
        <v>37</v>
      </c>
      <c r="D32" s="4" t="s">
        <v>176</v>
      </c>
      <c r="E32" s="25" t="s">
        <v>235</v>
      </c>
      <c r="F32" s="4"/>
      <c r="G32" s="3"/>
      <c r="H32" s="3"/>
      <c r="I32" s="3"/>
      <c r="J32" s="3"/>
      <c r="K32" s="4"/>
      <c r="L32" s="3"/>
      <c r="M32" s="4"/>
    </row>
    <row r="33" spans="1:13" ht="12.75">
      <c r="A33" s="21" t="s">
        <v>236</v>
      </c>
      <c r="B33" s="4" t="s">
        <v>127</v>
      </c>
      <c r="C33" s="4" t="s">
        <v>193</v>
      </c>
      <c r="D33" s="4" t="s">
        <v>97</v>
      </c>
      <c r="E33" s="25" t="s">
        <v>237</v>
      </c>
      <c r="F33" s="4"/>
      <c r="G33" s="3"/>
      <c r="H33" s="3"/>
      <c r="I33" s="3"/>
      <c r="J33" s="3"/>
      <c r="K33" s="4"/>
      <c r="L33" s="3"/>
      <c r="M33" s="4"/>
    </row>
  </sheetData>
  <sheetProtection/>
  <mergeCells count="14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7">
      <selection activeCell="B35" sqref="B35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0.25390625" style="0" bestFit="1" customWidth="1"/>
    <col min="7" max="9" width="6.625" style="0" bestFit="1" customWidth="1"/>
    <col min="10" max="10" width="5.62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41" t="s">
        <v>238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26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1"/>
    </row>
    <row r="5" spans="1:13" ht="15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4"/>
    </row>
    <row r="6" spans="1:13" ht="12.75">
      <c r="A6" s="6" t="s">
        <v>245</v>
      </c>
      <c r="B6" s="6" t="s">
        <v>246</v>
      </c>
      <c r="C6" s="6" t="s">
        <v>247</v>
      </c>
      <c r="D6" s="6" t="str">
        <f>"0,7268"</f>
        <v>0,7268</v>
      </c>
      <c r="E6" s="6" t="s">
        <v>248</v>
      </c>
      <c r="F6" s="6" t="s">
        <v>244</v>
      </c>
      <c r="G6" s="7" t="s">
        <v>161</v>
      </c>
      <c r="H6" s="7" t="s">
        <v>249</v>
      </c>
      <c r="I6" s="8" t="s">
        <v>162</v>
      </c>
      <c r="J6" s="8"/>
      <c r="K6" s="6" t="str">
        <f>"145,0"</f>
        <v>145,0</v>
      </c>
      <c r="L6" s="7" t="str">
        <f>"105,3860"</f>
        <v>105,3860</v>
      </c>
      <c r="M6" s="6" t="s">
        <v>28</v>
      </c>
    </row>
    <row r="7" spans="1:13" ht="12.75">
      <c r="A7" s="4"/>
      <c r="B7" s="4"/>
      <c r="C7" s="4"/>
      <c r="D7" s="4"/>
      <c r="E7" s="4"/>
      <c r="F7" s="4"/>
      <c r="G7" s="3"/>
      <c r="H7" s="3"/>
      <c r="I7" s="3"/>
      <c r="J7" s="3"/>
      <c r="K7" s="4"/>
      <c r="L7" s="3"/>
      <c r="M7" s="4"/>
    </row>
    <row r="8" spans="1:13" ht="15">
      <c r="A8" s="37" t="s">
        <v>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4"/>
    </row>
    <row r="9" spans="1:13" ht="12.75">
      <c r="A9" s="9" t="s">
        <v>250</v>
      </c>
      <c r="B9" s="9" t="s">
        <v>251</v>
      </c>
      <c r="C9" s="9" t="s">
        <v>252</v>
      </c>
      <c r="D9" s="9" t="str">
        <f>"0,6645"</f>
        <v>0,6645</v>
      </c>
      <c r="E9" s="9" t="s">
        <v>248</v>
      </c>
      <c r="F9" s="9" t="s">
        <v>244</v>
      </c>
      <c r="G9" s="10" t="s">
        <v>95</v>
      </c>
      <c r="H9" s="10" t="s">
        <v>253</v>
      </c>
      <c r="I9" s="10" t="s">
        <v>97</v>
      </c>
      <c r="J9" s="11"/>
      <c r="K9" s="9" t="str">
        <f>"190,0"</f>
        <v>190,0</v>
      </c>
      <c r="L9" s="10" t="str">
        <f>"127,5175"</f>
        <v>127,5175</v>
      </c>
      <c r="M9" s="9" t="s">
        <v>28</v>
      </c>
    </row>
    <row r="10" spans="1:13" ht="12.75">
      <c r="A10" s="15" t="s">
        <v>250</v>
      </c>
      <c r="B10" s="15" t="s">
        <v>254</v>
      </c>
      <c r="C10" s="15" t="s">
        <v>252</v>
      </c>
      <c r="D10" s="15" t="str">
        <f>"0,6645"</f>
        <v>0,6645</v>
      </c>
      <c r="E10" s="15" t="s">
        <v>248</v>
      </c>
      <c r="F10" s="15" t="s">
        <v>244</v>
      </c>
      <c r="G10" s="16" t="s">
        <v>95</v>
      </c>
      <c r="H10" s="16"/>
      <c r="I10" s="16"/>
      <c r="J10" s="17"/>
      <c r="K10" s="15" t="str">
        <f>"175,0"</f>
        <v>175,0</v>
      </c>
      <c r="L10" s="16" t="str">
        <f>"116,2875"</f>
        <v>116,2875</v>
      </c>
      <c r="M10" s="15" t="s">
        <v>28</v>
      </c>
    </row>
    <row r="11" spans="1:13" ht="12.75">
      <c r="A11" s="4"/>
      <c r="B11" s="4"/>
      <c r="C11" s="4"/>
      <c r="D11" s="4"/>
      <c r="E11" s="4"/>
      <c r="F11" s="4"/>
      <c r="G11" s="3"/>
      <c r="H11" s="3"/>
      <c r="I11" s="3"/>
      <c r="J11" s="3"/>
      <c r="K11" s="4"/>
      <c r="L11" s="3"/>
      <c r="M11" s="4"/>
    </row>
    <row r="12" spans="1:13" ht="15">
      <c r="A12" s="37" t="s">
        <v>169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"/>
    </row>
    <row r="13" spans="1:13" ht="12.75">
      <c r="A13" s="6" t="s">
        <v>255</v>
      </c>
      <c r="B13" s="6" t="s">
        <v>256</v>
      </c>
      <c r="C13" s="6" t="s">
        <v>257</v>
      </c>
      <c r="D13" s="6" t="str">
        <f>"0,6198"</f>
        <v>0,6198</v>
      </c>
      <c r="E13" s="6" t="s">
        <v>248</v>
      </c>
      <c r="F13" s="6" t="s">
        <v>244</v>
      </c>
      <c r="G13" s="7" t="s">
        <v>258</v>
      </c>
      <c r="H13" s="7" t="s">
        <v>129</v>
      </c>
      <c r="I13" s="7" t="s">
        <v>259</v>
      </c>
      <c r="J13" s="7" t="s">
        <v>260</v>
      </c>
      <c r="K13" s="6" t="str">
        <f>"250,0"</f>
        <v>250,0</v>
      </c>
      <c r="L13" s="7" t="str">
        <f>"154,9500"</f>
        <v>154,9500</v>
      </c>
      <c r="M13" s="6" t="s">
        <v>212</v>
      </c>
    </row>
    <row r="14" spans="1:13" ht="12.75">
      <c r="A14" s="4"/>
      <c r="B14" s="4"/>
      <c r="C14" s="4"/>
      <c r="D14" s="4"/>
      <c r="E14" s="4"/>
      <c r="F14" s="4"/>
      <c r="G14" s="3"/>
      <c r="H14" s="3"/>
      <c r="I14" s="3"/>
      <c r="J14" s="3"/>
      <c r="K14" s="4"/>
      <c r="L14" s="3"/>
      <c r="M14" s="4"/>
    </row>
    <row r="15" spans="1:13" ht="15">
      <c r="A15" s="37" t="s">
        <v>261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"/>
    </row>
    <row r="16" spans="1:13" ht="12.75">
      <c r="A16" s="9" t="s">
        <v>262</v>
      </c>
      <c r="B16" s="9" t="s">
        <v>263</v>
      </c>
      <c r="C16" s="9" t="s">
        <v>264</v>
      </c>
      <c r="D16" s="9" t="str">
        <f>"0,5857"</f>
        <v>0,5857</v>
      </c>
      <c r="E16" s="9" t="s">
        <v>248</v>
      </c>
      <c r="F16" s="9" t="s">
        <v>244</v>
      </c>
      <c r="G16" s="11" t="s">
        <v>87</v>
      </c>
      <c r="H16" s="11" t="s">
        <v>249</v>
      </c>
      <c r="I16" s="10" t="s">
        <v>162</v>
      </c>
      <c r="J16" s="11"/>
      <c r="K16" s="9" t="str">
        <f>"150,0"</f>
        <v>150,0</v>
      </c>
      <c r="L16" s="10" t="str">
        <f>"87,8550"</f>
        <v>87,8550</v>
      </c>
      <c r="M16" s="9" t="s">
        <v>28</v>
      </c>
    </row>
    <row r="17" spans="1:13" ht="12.75">
      <c r="A17" s="15" t="s">
        <v>262</v>
      </c>
      <c r="B17" s="15" t="s">
        <v>265</v>
      </c>
      <c r="C17" s="15" t="s">
        <v>264</v>
      </c>
      <c r="D17" s="15" t="str">
        <f>"0,5857"</f>
        <v>0,5857</v>
      </c>
      <c r="E17" s="15" t="s">
        <v>248</v>
      </c>
      <c r="F17" s="15" t="s">
        <v>244</v>
      </c>
      <c r="G17" s="17" t="s">
        <v>87</v>
      </c>
      <c r="H17" s="17" t="s">
        <v>249</v>
      </c>
      <c r="I17" s="16" t="s">
        <v>162</v>
      </c>
      <c r="J17" s="17"/>
      <c r="K17" s="15" t="str">
        <f>"150,0"</f>
        <v>150,0</v>
      </c>
      <c r="L17" s="16" t="str">
        <f>"134,8574"</f>
        <v>134,8574</v>
      </c>
      <c r="M17" s="15" t="s">
        <v>28</v>
      </c>
    </row>
    <row r="18" spans="1:13" ht="12.75">
      <c r="A18" s="4"/>
      <c r="B18" s="4"/>
      <c r="C18" s="4"/>
      <c r="D18" s="4"/>
      <c r="E18" s="4"/>
      <c r="F18" s="4"/>
      <c r="G18" s="3"/>
      <c r="H18" s="3"/>
      <c r="I18" s="3"/>
      <c r="J18" s="3"/>
      <c r="K18" s="4"/>
      <c r="L18" s="3"/>
      <c r="M18" s="4"/>
    </row>
    <row r="19" spans="1:13" ht="15">
      <c r="A19" s="37" t="s">
        <v>100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"/>
    </row>
    <row r="20" spans="1:13" ht="12.75">
      <c r="A20" s="6" t="s">
        <v>266</v>
      </c>
      <c r="B20" s="6" t="s">
        <v>267</v>
      </c>
      <c r="C20" s="6" t="s">
        <v>268</v>
      </c>
      <c r="D20" s="6" t="str">
        <f>"0,5597"</f>
        <v>0,5597</v>
      </c>
      <c r="E20" s="6" t="s">
        <v>248</v>
      </c>
      <c r="F20" s="6" t="s">
        <v>244</v>
      </c>
      <c r="G20" s="7" t="s">
        <v>269</v>
      </c>
      <c r="H20" s="8" t="s">
        <v>179</v>
      </c>
      <c r="I20" s="7" t="s">
        <v>179</v>
      </c>
      <c r="J20" s="8"/>
      <c r="K20" s="6" t="str">
        <f>"275,0"</f>
        <v>275,0</v>
      </c>
      <c r="L20" s="7" t="str">
        <f>"153,9175"</f>
        <v>153,9175</v>
      </c>
      <c r="M20" s="6" t="s">
        <v>28</v>
      </c>
    </row>
    <row r="21" spans="1:13" ht="12.75">
      <c r="A21" s="4"/>
      <c r="B21" s="4"/>
      <c r="C21" s="4"/>
      <c r="D21" s="4"/>
      <c r="E21" s="4"/>
      <c r="F21" s="4"/>
      <c r="G21" s="3"/>
      <c r="H21" s="3"/>
      <c r="I21" s="3"/>
      <c r="J21" s="3"/>
      <c r="K21" s="4"/>
      <c r="L21" s="3"/>
      <c r="M21" s="4"/>
    </row>
    <row r="22" spans="1:13" ht="15">
      <c r="A22" s="37" t="s">
        <v>270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"/>
    </row>
    <row r="23" spans="1:13" ht="12.75">
      <c r="A23" s="6" t="s">
        <v>271</v>
      </c>
      <c r="B23" s="6" t="s">
        <v>272</v>
      </c>
      <c r="C23" s="6" t="s">
        <v>273</v>
      </c>
      <c r="D23" s="6" t="str">
        <f>"0,5413"</f>
        <v>0,5413</v>
      </c>
      <c r="E23" s="6" t="s">
        <v>19</v>
      </c>
      <c r="F23" s="6" t="s">
        <v>20</v>
      </c>
      <c r="G23" s="7" t="s">
        <v>274</v>
      </c>
      <c r="H23" s="7" t="s">
        <v>275</v>
      </c>
      <c r="I23" s="7" t="s">
        <v>105</v>
      </c>
      <c r="J23" s="8"/>
      <c r="K23" s="6" t="str">
        <f>"210,0"</f>
        <v>210,0</v>
      </c>
      <c r="L23" s="7" t="str">
        <f>"174,4881"</f>
        <v>174,4881</v>
      </c>
      <c r="M23" s="6" t="s">
        <v>28</v>
      </c>
    </row>
    <row r="24" spans="1:13" ht="12.75">
      <c r="A24" s="4"/>
      <c r="B24" s="4"/>
      <c r="C24" s="4"/>
      <c r="D24" s="4"/>
      <c r="E24" s="4"/>
      <c r="F24" s="4"/>
      <c r="G24" s="3"/>
      <c r="H24" s="3"/>
      <c r="I24" s="3"/>
      <c r="J24" s="3"/>
      <c r="K24" s="4"/>
      <c r="L24" s="3"/>
      <c r="M24" s="4"/>
    </row>
    <row r="25" spans="1:13" ht="15">
      <c r="A25" s="4"/>
      <c r="B25" s="4"/>
      <c r="C25" s="4"/>
      <c r="D25" s="4"/>
      <c r="E25" s="18" t="s">
        <v>112</v>
      </c>
      <c r="F25" s="18" t="s">
        <v>151</v>
      </c>
      <c r="G25" s="3"/>
      <c r="H25" s="3"/>
      <c r="I25" s="3"/>
      <c r="J25" s="3"/>
      <c r="K25" s="4"/>
      <c r="L25" s="3"/>
      <c r="M25" s="4"/>
    </row>
    <row r="26" spans="1:13" ht="15">
      <c r="A26" s="4"/>
      <c r="B26" s="4"/>
      <c r="C26" s="4"/>
      <c r="D26" s="4"/>
      <c r="E26" s="18" t="s">
        <v>113</v>
      </c>
      <c r="F26" s="18" t="s">
        <v>152</v>
      </c>
      <c r="G26" s="3"/>
      <c r="H26" s="3"/>
      <c r="I26" s="3"/>
      <c r="J26" s="3"/>
      <c r="K26" s="4"/>
      <c r="L26" s="3"/>
      <c r="M26" s="4"/>
    </row>
    <row r="27" spans="1:13" ht="15">
      <c r="A27" s="4"/>
      <c r="B27" s="4"/>
      <c r="C27" s="4"/>
      <c r="D27" s="4"/>
      <c r="E27" s="18" t="s">
        <v>114</v>
      </c>
      <c r="F27" s="18" t="s">
        <v>153</v>
      </c>
      <c r="G27" s="3"/>
      <c r="H27" s="3"/>
      <c r="I27" s="3"/>
      <c r="J27" s="3"/>
      <c r="K27" s="4"/>
      <c r="L27" s="3"/>
      <c r="M27" s="4"/>
    </row>
    <row r="28" spans="1:13" ht="15">
      <c r="A28" s="4"/>
      <c r="B28" s="4"/>
      <c r="C28" s="4"/>
      <c r="D28" s="4"/>
      <c r="E28" s="18" t="s">
        <v>115</v>
      </c>
      <c r="F28" s="18" t="s">
        <v>154</v>
      </c>
      <c r="G28" s="3"/>
      <c r="H28" s="3"/>
      <c r="I28" s="3"/>
      <c r="J28" s="3"/>
      <c r="K28" s="4"/>
      <c r="L28" s="3"/>
      <c r="M28" s="4"/>
    </row>
    <row r="29" spans="1:13" ht="15">
      <c r="A29" s="4"/>
      <c r="B29" s="4"/>
      <c r="C29" s="4"/>
      <c r="D29" s="4"/>
      <c r="E29" s="18" t="s">
        <v>115</v>
      </c>
      <c r="F29" s="18" t="s">
        <v>155</v>
      </c>
      <c r="G29" s="3"/>
      <c r="H29" s="3"/>
      <c r="I29" s="3"/>
      <c r="J29" s="3"/>
      <c r="K29" s="4"/>
      <c r="L29" s="3"/>
      <c r="M29" s="4"/>
    </row>
    <row r="30" spans="1:13" ht="15">
      <c r="A30" s="4"/>
      <c r="B30" s="4"/>
      <c r="C30" s="4"/>
      <c r="D30" s="4"/>
      <c r="E30" s="18"/>
      <c r="F30" s="4"/>
      <c r="G30" s="3"/>
      <c r="H30" s="3"/>
      <c r="I30" s="3"/>
      <c r="J30" s="3"/>
      <c r="K30" s="4"/>
      <c r="L30" s="3"/>
      <c r="M30" s="4"/>
    </row>
    <row r="31" spans="1:13" ht="15">
      <c r="A31" s="4"/>
      <c r="B31" s="4"/>
      <c r="C31" s="4"/>
      <c r="D31" s="4"/>
      <c r="E31" s="18"/>
      <c r="F31" s="4"/>
      <c r="G31" s="3"/>
      <c r="H31" s="3"/>
      <c r="I31" s="3"/>
      <c r="J31" s="3"/>
      <c r="K31" s="4"/>
      <c r="L31" s="3"/>
      <c r="M31" s="4"/>
    </row>
    <row r="32" spans="1:13" ht="12.75">
      <c r="A32" s="4"/>
      <c r="B32" s="4"/>
      <c r="C32" s="4"/>
      <c r="D32" s="4"/>
      <c r="E32" s="4"/>
      <c r="F32" s="4"/>
      <c r="G32" s="3"/>
      <c r="H32" s="3"/>
      <c r="I32" s="3"/>
      <c r="J32" s="3"/>
      <c r="K32" s="4"/>
      <c r="L32" s="3"/>
      <c r="M32" s="4"/>
    </row>
    <row r="33" spans="1:13" ht="18">
      <c r="A33" s="19" t="s">
        <v>116</v>
      </c>
      <c r="B33" s="19"/>
      <c r="C33" s="4"/>
      <c r="D33" s="4"/>
      <c r="E33" s="4"/>
      <c r="F33" s="4"/>
      <c r="G33" s="3"/>
      <c r="H33" s="3"/>
      <c r="I33" s="3"/>
      <c r="J33" s="3"/>
      <c r="K33" s="4"/>
      <c r="L33" s="3"/>
      <c r="M33" s="4"/>
    </row>
    <row r="34" spans="1:13" ht="15">
      <c r="A34" s="20" t="s">
        <v>136</v>
      </c>
      <c r="B34" s="20"/>
      <c r="C34" s="4"/>
      <c r="D34" s="4"/>
      <c r="E34" s="4"/>
      <c r="F34" s="4"/>
      <c r="G34" s="3"/>
      <c r="H34" s="3"/>
      <c r="I34" s="3"/>
      <c r="J34" s="3"/>
      <c r="K34" s="4"/>
      <c r="L34" s="3"/>
      <c r="M34" s="4"/>
    </row>
    <row r="35" spans="1:13" ht="14.25">
      <c r="A35" s="22"/>
      <c r="B35" s="23" t="s">
        <v>279</v>
      </c>
      <c r="C35" s="4"/>
      <c r="D35" s="4"/>
      <c r="E35" s="4"/>
      <c r="F35" s="4"/>
      <c r="G35" s="3"/>
      <c r="H35" s="3"/>
      <c r="I35" s="3"/>
      <c r="J35" s="3"/>
      <c r="K35" s="4"/>
      <c r="L35" s="3"/>
      <c r="M35" s="4"/>
    </row>
    <row r="36" spans="1:13" ht="15">
      <c r="A36" s="24" t="s">
        <v>119</v>
      </c>
      <c r="B36" s="24" t="s">
        <v>120</v>
      </c>
      <c r="C36" s="24" t="s">
        <v>121</v>
      </c>
      <c r="D36" s="24" t="s">
        <v>122</v>
      </c>
      <c r="E36" s="24" t="s">
        <v>123</v>
      </c>
      <c r="F36" s="4"/>
      <c r="G36" s="3"/>
      <c r="H36" s="3"/>
      <c r="I36" s="3"/>
      <c r="J36" s="3"/>
      <c r="K36" s="4"/>
      <c r="L36" s="3"/>
      <c r="M36" s="4"/>
    </row>
    <row r="37" spans="1:13" ht="12.75">
      <c r="A37" s="21" t="s">
        <v>280</v>
      </c>
      <c r="B37" s="4" t="s">
        <v>124</v>
      </c>
      <c r="C37" s="4" t="s">
        <v>65</v>
      </c>
      <c r="D37" s="4" t="s">
        <v>97</v>
      </c>
      <c r="E37" s="25" t="s">
        <v>281</v>
      </c>
      <c r="F37" s="4"/>
      <c r="G37" s="3"/>
      <c r="H37" s="3"/>
      <c r="I37" s="3"/>
      <c r="J37" s="3"/>
      <c r="K37" s="4"/>
      <c r="L37" s="3"/>
      <c r="M37" s="4"/>
    </row>
    <row r="38" spans="1:13" ht="12.75">
      <c r="A38" s="4"/>
      <c r="B38" s="4"/>
      <c r="C38" s="4"/>
      <c r="D38" s="4"/>
      <c r="E38" s="4"/>
      <c r="F38" s="4"/>
      <c r="G38" s="3"/>
      <c r="H38" s="3"/>
      <c r="I38" s="3"/>
      <c r="J38" s="3"/>
      <c r="K38" s="4"/>
      <c r="L38" s="3"/>
      <c r="M38" s="4"/>
    </row>
    <row r="39" spans="1:13" ht="14.25">
      <c r="A39" s="22"/>
      <c r="B39" s="23" t="s">
        <v>127</v>
      </c>
      <c r="C39" s="4"/>
      <c r="D39" s="4"/>
      <c r="E39" s="4"/>
      <c r="F39" s="4"/>
      <c r="G39" s="3"/>
      <c r="H39" s="3"/>
      <c r="I39" s="3"/>
      <c r="J39" s="3"/>
      <c r="K39" s="4"/>
      <c r="L39" s="3"/>
      <c r="M39" s="4"/>
    </row>
    <row r="40" spans="1:13" ht="15">
      <c r="A40" s="24" t="s">
        <v>119</v>
      </c>
      <c r="B40" s="24" t="s">
        <v>120</v>
      </c>
      <c r="C40" s="24" t="s">
        <v>121</v>
      </c>
      <c r="D40" s="24" t="s">
        <v>122</v>
      </c>
      <c r="E40" s="24" t="s">
        <v>123</v>
      </c>
      <c r="F40" s="4"/>
      <c r="G40" s="3"/>
      <c r="H40" s="3"/>
      <c r="I40" s="3"/>
      <c r="J40" s="3"/>
      <c r="K40" s="4"/>
      <c r="L40" s="3"/>
      <c r="M40" s="4"/>
    </row>
    <row r="41" spans="1:13" ht="12.75">
      <c r="A41" s="21" t="s">
        <v>282</v>
      </c>
      <c r="B41" s="4" t="s">
        <v>127</v>
      </c>
      <c r="C41" s="4" t="s">
        <v>193</v>
      </c>
      <c r="D41" s="4" t="s">
        <v>259</v>
      </c>
      <c r="E41" s="25" t="s">
        <v>283</v>
      </c>
      <c r="F41" s="4"/>
      <c r="G41" s="3"/>
      <c r="H41" s="3"/>
      <c r="I41" s="3"/>
      <c r="J41" s="3"/>
      <c r="K41" s="4"/>
      <c r="L41" s="3"/>
      <c r="M41" s="4"/>
    </row>
    <row r="42" spans="1:13" ht="12.75">
      <c r="A42" s="21" t="s">
        <v>284</v>
      </c>
      <c r="B42" s="4" t="s">
        <v>127</v>
      </c>
      <c r="C42" s="4" t="s">
        <v>37</v>
      </c>
      <c r="D42" s="4" t="s">
        <v>179</v>
      </c>
      <c r="E42" s="25" t="s">
        <v>285</v>
      </c>
      <c r="F42" s="4"/>
      <c r="G42" s="3"/>
      <c r="H42" s="3"/>
      <c r="I42" s="3"/>
      <c r="J42" s="3"/>
      <c r="K42" s="4"/>
      <c r="L42" s="3"/>
      <c r="M42" s="4"/>
    </row>
    <row r="43" spans="1:13" ht="12.75">
      <c r="A43" s="21" t="s">
        <v>280</v>
      </c>
      <c r="B43" s="4" t="s">
        <v>127</v>
      </c>
      <c r="C43" s="4" t="s">
        <v>65</v>
      </c>
      <c r="D43" s="4" t="s">
        <v>95</v>
      </c>
      <c r="E43" s="25" t="s">
        <v>286</v>
      </c>
      <c r="F43" s="4"/>
      <c r="G43" s="3"/>
      <c r="H43" s="3"/>
      <c r="I43" s="3"/>
      <c r="J43" s="3"/>
      <c r="K43" s="4"/>
      <c r="L43" s="3"/>
      <c r="M43" s="4"/>
    </row>
    <row r="44" spans="1:13" ht="12.75">
      <c r="A44" s="21" t="s">
        <v>287</v>
      </c>
      <c r="B44" s="4" t="s">
        <v>127</v>
      </c>
      <c r="C44" s="4" t="s">
        <v>128</v>
      </c>
      <c r="D44" s="4" t="s">
        <v>249</v>
      </c>
      <c r="E44" s="25" t="s">
        <v>288</v>
      </c>
      <c r="F44" s="4"/>
      <c r="G44" s="3"/>
      <c r="H44" s="3"/>
      <c r="I44" s="3"/>
      <c r="J44" s="3"/>
      <c r="K44" s="4"/>
      <c r="L44" s="3"/>
      <c r="M44" s="4"/>
    </row>
    <row r="45" spans="1:13" ht="12.75">
      <c r="A45" s="21" t="s">
        <v>289</v>
      </c>
      <c r="B45" s="4" t="s">
        <v>127</v>
      </c>
      <c r="C45" s="4" t="s">
        <v>40</v>
      </c>
      <c r="D45" s="4" t="s">
        <v>162</v>
      </c>
      <c r="E45" s="25" t="s">
        <v>290</v>
      </c>
      <c r="F45" s="4"/>
      <c r="G45" s="3"/>
      <c r="H45" s="3"/>
      <c r="I45" s="3"/>
      <c r="J45" s="3"/>
      <c r="K45" s="4"/>
      <c r="L45" s="3"/>
      <c r="M45" s="4"/>
    </row>
    <row r="46" spans="1:13" ht="12.75">
      <c r="A46" s="4"/>
      <c r="B46" s="4"/>
      <c r="C46" s="4"/>
      <c r="D46" s="4"/>
      <c r="E46" s="4"/>
      <c r="F46" s="4"/>
      <c r="G46" s="3"/>
      <c r="H46" s="3"/>
      <c r="I46" s="3"/>
      <c r="J46" s="3"/>
      <c r="K46" s="4"/>
      <c r="L46" s="3"/>
      <c r="M46" s="4"/>
    </row>
    <row r="47" spans="1:13" ht="14.25">
      <c r="A47" s="22"/>
      <c r="B47" s="23" t="s">
        <v>133</v>
      </c>
      <c r="C47" s="4"/>
      <c r="D47" s="4"/>
      <c r="E47" s="4"/>
      <c r="F47" s="4"/>
      <c r="G47" s="3"/>
      <c r="H47" s="3"/>
      <c r="I47" s="3"/>
      <c r="J47" s="3"/>
      <c r="K47" s="4"/>
      <c r="L47" s="3"/>
      <c r="M47" s="4"/>
    </row>
    <row r="48" spans="1:13" ht="15">
      <c r="A48" s="24" t="s">
        <v>119</v>
      </c>
      <c r="B48" s="24" t="s">
        <v>120</v>
      </c>
      <c r="C48" s="24" t="s">
        <v>121</v>
      </c>
      <c r="D48" s="24" t="s">
        <v>122</v>
      </c>
      <c r="E48" s="24" t="s">
        <v>123</v>
      </c>
      <c r="F48" s="4"/>
      <c r="G48" s="3"/>
      <c r="H48" s="3"/>
      <c r="I48" s="3"/>
      <c r="J48" s="3"/>
      <c r="K48" s="4"/>
      <c r="L48" s="3"/>
      <c r="M48" s="4"/>
    </row>
    <row r="49" spans="1:13" ht="12.75">
      <c r="A49" s="21" t="s">
        <v>291</v>
      </c>
      <c r="B49" s="4" t="s">
        <v>292</v>
      </c>
      <c r="C49" s="4" t="s">
        <v>54</v>
      </c>
      <c r="D49" s="4" t="s">
        <v>293</v>
      </c>
      <c r="E49" s="25" t="s">
        <v>294</v>
      </c>
      <c r="F49" s="4"/>
      <c r="G49" s="3"/>
      <c r="H49" s="3"/>
      <c r="I49" s="3"/>
      <c r="J49" s="3"/>
      <c r="K49" s="4"/>
      <c r="L49" s="3"/>
      <c r="M49" s="4"/>
    </row>
    <row r="50" spans="1:13" ht="12.75">
      <c r="A50" s="21" t="s">
        <v>289</v>
      </c>
      <c r="B50" s="4" t="s">
        <v>292</v>
      </c>
      <c r="C50" s="4" t="s">
        <v>40</v>
      </c>
      <c r="D50" s="4" t="s">
        <v>162</v>
      </c>
      <c r="E50" s="25" t="s">
        <v>295</v>
      </c>
      <c r="F50" s="4"/>
      <c r="G50" s="3"/>
      <c r="H50" s="3"/>
      <c r="I50" s="3"/>
      <c r="J50" s="3"/>
      <c r="K50" s="4"/>
      <c r="L50" s="3"/>
      <c r="M50" s="4"/>
    </row>
  </sheetData>
  <sheetProtection/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19:L19"/>
    <mergeCell ref="A22:L22"/>
    <mergeCell ref="M3:M4"/>
    <mergeCell ref="A5:L5"/>
    <mergeCell ref="A8:L8"/>
    <mergeCell ref="A12:L12"/>
    <mergeCell ref="A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F68" sqref="F68"/>
    </sheetView>
  </sheetViews>
  <sheetFormatPr defaultColWidth="9.25390625" defaultRowHeight="12.75"/>
  <cols>
    <col min="1" max="1" width="26.00390625" style="0" bestFit="1" customWidth="1"/>
    <col min="2" max="2" width="28.625" style="0" bestFit="1" customWidth="1"/>
    <col min="3" max="3" width="10.625" style="0" bestFit="1" customWidth="1"/>
    <col min="4" max="4" width="9.25390625" style="0" customWidth="1"/>
    <col min="5" max="5" width="22.75390625" style="0" bestFit="1" customWidth="1"/>
    <col min="6" max="6" width="34.375" style="0" bestFit="1" customWidth="1"/>
    <col min="7" max="9" width="6.625" style="0" bestFit="1" customWidth="1"/>
    <col min="10" max="10" width="4.87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41" t="s">
        <v>296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08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1"/>
    </row>
    <row r="5" spans="1:13" ht="15">
      <c r="A5" s="38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</row>
    <row r="6" spans="1:13" ht="12.75">
      <c r="A6" s="6" t="s">
        <v>297</v>
      </c>
      <c r="B6" s="6" t="s">
        <v>298</v>
      </c>
      <c r="C6" s="6" t="s">
        <v>299</v>
      </c>
      <c r="D6" s="6" t="str">
        <f>"0,7822"</f>
        <v>0,7822</v>
      </c>
      <c r="E6" s="6" t="s">
        <v>19</v>
      </c>
      <c r="F6" s="6" t="s">
        <v>300</v>
      </c>
      <c r="G6" s="7" t="s">
        <v>301</v>
      </c>
      <c r="H6" s="8" t="s">
        <v>54</v>
      </c>
      <c r="I6" s="8"/>
      <c r="J6" s="8"/>
      <c r="K6" s="6" t="str">
        <f>"105,0"</f>
        <v>105,0</v>
      </c>
      <c r="L6" s="7" t="str">
        <f>"91,7403"</f>
        <v>91,7403</v>
      </c>
      <c r="M6" s="6" t="s">
        <v>28</v>
      </c>
    </row>
    <row r="7" spans="1:13" ht="12.75">
      <c r="A7" s="4"/>
      <c r="B7" s="4"/>
      <c r="C7" s="4"/>
      <c r="D7" s="4"/>
      <c r="E7" s="4"/>
      <c r="F7" s="4"/>
      <c r="G7" s="3"/>
      <c r="H7" s="3"/>
      <c r="I7" s="3"/>
      <c r="J7" s="3"/>
      <c r="K7" s="4"/>
      <c r="L7" s="3"/>
      <c r="M7" s="4"/>
    </row>
    <row r="8" spans="1:13" ht="15">
      <c r="A8" s="37" t="s">
        <v>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4"/>
    </row>
    <row r="9" spans="1:13" ht="12.75">
      <c r="A9" s="6" t="s">
        <v>302</v>
      </c>
      <c r="B9" s="6" t="s">
        <v>303</v>
      </c>
      <c r="C9" s="6" t="s">
        <v>304</v>
      </c>
      <c r="D9" s="6" t="str">
        <f>"0,7362"</f>
        <v>0,7362</v>
      </c>
      <c r="E9" s="6" t="s">
        <v>19</v>
      </c>
      <c r="F9" s="6" t="s">
        <v>305</v>
      </c>
      <c r="G9" s="7" t="s">
        <v>306</v>
      </c>
      <c r="H9" s="8" t="s">
        <v>37</v>
      </c>
      <c r="I9" s="8"/>
      <c r="J9" s="8"/>
      <c r="K9" s="6" t="str">
        <f>"97,5"</f>
        <v>97,5</v>
      </c>
      <c r="L9" s="7" t="str">
        <f>"71,7746"</f>
        <v>71,7746</v>
      </c>
      <c r="M9" s="6" t="s">
        <v>28</v>
      </c>
    </row>
    <row r="10" spans="1:13" ht="12.75">
      <c r="A10" s="4"/>
      <c r="B10" s="4"/>
      <c r="C10" s="4"/>
      <c r="D10" s="4"/>
      <c r="E10" s="4"/>
      <c r="F10" s="4"/>
      <c r="G10" s="3"/>
      <c r="H10" s="3"/>
      <c r="I10" s="3"/>
      <c r="J10" s="3"/>
      <c r="K10" s="4"/>
      <c r="L10" s="3"/>
      <c r="M10" s="4"/>
    </row>
    <row r="11" spans="1:13" ht="15">
      <c r="A11" s="37" t="s">
        <v>79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"/>
    </row>
    <row r="12" spans="1:13" ht="12.75">
      <c r="A12" s="28" t="s">
        <v>644</v>
      </c>
      <c r="B12" s="28" t="s">
        <v>645</v>
      </c>
      <c r="C12" s="28" t="s">
        <v>646</v>
      </c>
      <c r="D12" s="32">
        <v>0.5608</v>
      </c>
      <c r="E12" s="6" t="s">
        <v>19</v>
      </c>
      <c r="F12" s="32" t="s">
        <v>647</v>
      </c>
      <c r="G12" s="29" t="s">
        <v>162</v>
      </c>
      <c r="H12" s="29" t="s">
        <v>427</v>
      </c>
      <c r="I12" s="30" t="s">
        <v>648</v>
      </c>
      <c r="J12" s="31"/>
      <c r="K12" s="31" t="s">
        <v>427</v>
      </c>
      <c r="L12" s="29" t="s">
        <v>649</v>
      </c>
      <c r="M12" s="6" t="s">
        <v>28</v>
      </c>
    </row>
    <row r="14" spans="1:13" ht="15">
      <c r="A14" s="37" t="s">
        <v>169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4"/>
    </row>
    <row r="15" spans="1:13" ht="12.75">
      <c r="A15" s="6" t="s">
        <v>307</v>
      </c>
      <c r="B15" s="6" t="s">
        <v>308</v>
      </c>
      <c r="C15" s="6" t="s">
        <v>309</v>
      </c>
      <c r="D15" s="6" t="str">
        <f>"0,6329"</f>
        <v>0,6329</v>
      </c>
      <c r="E15" s="6" t="s">
        <v>63</v>
      </c>
      <c r="F15" s="6" t="s">
        <v>64</v>
      </c>
      <c r="G15" s="7" t="s">
        <v>125</v>
      </c>
      <c r="H15" s="7" t="s">
        <v>96</v>
      </c>
      <c r="I15" s="8" t="s">
        <v>97</v>
      </c>
      <c r="J15" s="8"/>
      <c r="K15" s="6" t="str">
        <f>"180,0"</f>
        <v>180,0</v>
      </c>
      <c r="L15" s="7" t="str">
        <f>"113,9220"</f>
        <v>113,9220</v>
      </c>
      <c r="M15" s="6" t="s">
        <v>28</v>
      </c>
    </row>
    <row r="16" spans="1:13" ht="12.75">
      <c r="A16" s="4"/>
      <c r="B16" s="4"/>
      <c r="C16" s="4"/>
      <c r="D16" s="4"/>
      <c r="E16" s="4"/>
      <c r="F16" s="4"/>
      <c r="G16" s="3"/>
      <c r="H16" s="3"/>
      <c r="I16" s="3"/>
      <c r="J16" s="3"/>
      <c r="K16" s="4"/>
      <c r="L16" s="3"/>
      <c r="M16" s="4"/>
    </row>
    <row r="17" spans="1:13" ht="15">
      <c r="A17" s="53" t="s">
        <v>261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12.75">
      <c r="A18" s="9" t="s">
        <v>310</v>
      </c>
      <c r="B18" s="9" t="s">
        <v>311</v>
      </c>
      <c r="C18" s="9" t="s">
        <v>312</v>
      </c>
      <c r="D18" s="9" t="str">
        <f>"0,5995"</f>
        <v>0,5995</v>
      </c>
      <c r="E18" s="9" t="s">
        <v>19</v>
      </c>
      <c r="F18" s="9" t="s">
        <v>20</v>
      </c>
      <c r="G18" s="11" t="s">
        <v>221</v>
      </c>
      <c r="H18" s="11" t="s">
        <v>313</v>
      </c>
      <c r="I18" s="11" t="s">
        <v>313</v>
      </c>
      <c r="J18" s="11"/>
      <c r="K18" s="9" t="str">
        <f>"0.00"</f>
        <v>0.00</v>
      </c>
      <c r="L18" s="10" t="str">
        <f>"0,0000"</f>
        <v>0,0000</v>
      </c>
      <c r="M18" s="9" t="s">
        <v>28</v>
      </c>
    </row>
    <row r="19" spans="1:13" ht="12.75">
      <c r="A19" s="15" t="s">
        <v>314</v>
      </c>
      <c r="B19" s="15" t="s">
        <v>315</v>
      </c>
      <c r="C19" s="15" t="s">
        <v>316</v>
      </c>
      <c r="D19" s="15" t="str">
        <f>"0,5905"</f>
        <v>0,5905</v>
      </c>
      <c r="E19" s="15" t="s">
        <v>317</v>
      </c>
      <c r="F19" s="15" t="s">
        <v>318</v>
      </c>
      <c r="G19" s="16" t="s">
        <v>55</v>
      </c>
      <c r="H19" s="16" t="s">
        <v>319</v>
      </c>
      <c r="I19" s="16" t="s">
        <v>161</v>
      </c>
      <c r="J19" s="17"/>
      <c r="K19" s="15" t="str">
        <f>"130,0"</f>
        <v>130,0</v>
      </c>
      <c r="L19" s="16" t="str">
        <f>"143,1667"</f>
        <v>143,1667</v>
      </c>
      <c r="M19" s="15" t="s">
        <v>28</v>
      </c>
    </row>
    <row r="20" spans="1:13" ht="12.75">
      <c r="A20" s="4"/>
      <c r="B20" s="4"/>
      <c r="C20" s="4"/>
      <c r="D20" s="4"/>
      <c r="E20" s="4"/>
      <c r="F20" s="4"/>
      <c r="G20" s="3"/>
      <c r="H20" s="3"/>
      <c r="I20" s="3"/>
      <c r="J20" s="3"/>
      <c r="K20" s="4"/>
      <c r="L20" s="3"/>
      <c r="M20" s="4"/>
    </row>
    <row r="21" spans="1:13" ht="15">
      <c r="A21" s="53" t="s">
        <v>100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2.75">
      <c r="A22" s="9" t="s">
        <v>320</v>
      </c>
      <c r="B22" s="9" t="s">
        <v>321</v>
      </c>
      <c r="C22" s="9" t="s">
        <v>322</v>
      </c>
      <c r="D22" s="9" t="str">
        <f>"0,5599"</f>
        <v>0,5599</v>
      </c>
      <c r="E22" s="9" t="s">
        <v>205</v>
      </c>
      <c r="F22" s="9" t="s">
        <v>225</v>
      </c>
      <c r="G22" s="10" t="s">
        <v>274</v>
      </c>
      <c r="H22" s="10" t="s">
        <v>323</v>
      </c>
      <c r="I22" s="11" t="s">
        <v>324</v>
      </c>
      <c r="J22" s="11"/>
      <c r="K22" s="9" t="str">
        <f>"192,5"</f>
        <v>192,5</v>
      </c>
      <c r="L22" s="10" t="str">
        <f>"112,0920"</f>
        <v>112,0920</v>
      </c>
      <c r="M22" s="9" t="s">
        <v>28</v>
      </c>
    </row>
    <row r="23" spans="1:13" ht="12.75">
      <c r="A23" s="12" t="s">
        <v>325</v>
      </c>
      <c r="B23" s="12" t="s">
        <v>326</v>
      </c>
      <c r="C23" s="12" t="s">
        <v>327</v>
      </c>
      <c r="D23" s="12" t="str">
        <f>"0,5633"</f>
        <v>0,5633</v>
      </c>
      <c r="E23" s="12" t="s">
        <v>19</v>
      </c>
      <c r="F23" s="12" t="s">
        <v>20</v>
      </c>
      <c r="G23" s="13" t="s">
        <v>86</v>
      </c>
      <c r="H23" s="13" t="s">
        <v>328</v>
      </c>
      <c r="I23" s="13" t="s">
        <v>74</v>
      </c>
      <c r="J23" s="14"/>
      <c r="K23" s="12" t="str">
        <f>"140,0"</f>
        <v>140,0</v>
      </c>
      <c r="L23" s="13" t="str">
        <f>"80,4392"</f>
        <v>80,4392</v>
      </c>
      <c r="M23" s="12" t="s">
        <v>28</v>
      </c>
    </row>
    <row r="24" spans="1:13" ht="12.75">
      <c r="A24" s="12" t="s">
        <v>320</v>
      </c>
      <c r="B24" s="12" t="s">
        <v>329</v>
      </c>
      <c r="C24" s="12" t="s">
        <v>322</v>
      </c>
      <c r="D24" s="12" t="str">
        <f>"0,5599"</f>
        <v>0,5599</v>
      </c>
      <c r="E24" s="12" t="s">
        <v>205</v>
      </c>
      <c r="F24" s="12" t="s">
        <v>225</v>
      </c>
      <c r="G24" s="13" t="s">
        <v>253</v>
      </c>
      <c r="H24" s="13" t="s">
        <v>330</v>
      </c>
      <c r="I24" s="14" t="s">
        <v>324</v>
      </c>
      <c r="J24" s="14"/>
      <c r="K24" s="12" t="str">
        <f>"192,5"</f>
        <v>192,5</v>
      </c>
      <c r="L24" s="13" t="str">
        <f>"107,7807"</f>
        <v>107,7807</v>
      </c>
      <c r="M24" s="12" t="s">
        <v>28</v>
      </c>
    </row>
    <row r="25" spans="1:13" ht="12.75">
      <c r="A25" s="15" t="s">
        <v>331</v>
      </c>
      <c r="B25" s="15" t="s">
        <v>229</v>
      </c>
      <c r="C25" s="15" t="s">
        <v>230</v>
      </c>
      <c r="D25" s="15" t="str">
        <f>"0,5710"</f>
        <v>0,5710</v>
      </c>
      <c r="E25" s="15" t="s">
        <v>47</v>
      </c>
      <c r="F25" s="15" t="s">
        <v>48</v>
      </c>
      <c r="G25" s="16" t="s">
        <v>107</v>
      </c>
      <c r="H25" s="16" t="s">
        <v>332</v>
      </c>
      <c r="I25" s="16" t="s">
        <v>125</v>
      </c>
      <c r="J25" s="17"/>
      <c r="K25" s="15" t="str">
        <f>"170,0"</f>
        <v>170,0</v>
      </c>
      <c r="L25" s="16" t="str">
        <f>"97,0700"</f>
        <v>97,0700</v>
      </c>
      <c r="M25" s="15" t="s">
        <v>28</v>
      </c>
    </row>
    <row r="26" spans="1:13" ht="12.75">
      <c r="A26" s="4"/>
      <c r="B26" s="4"/>
      <c r="C26" s="4"/>
      <c r="D26" s="4"/>
      <c r="E26" s="4"/>
      <c r="F26" s="4"/>
      <c r="G26" s="3"/>
      <c r="H26" s="3"/>
      <c r="I26" s="3"/>
      <c r="J26" s="3"/>
      <c r="K26" s="4"/>
      <c r="L26" s="3"/>
      <c r="M26" s="4"/>
    </row>
    <row r="27" spans="1:13" ht="15">
      <c r="A27" s="53" t="s">
        <v>270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2.75">
      <c r="A28" s="9" t="s">
        <v>333</v>
      </c>
      <c r="B28" s="9" t="s">
        <v>334</v>
      </c>
      <c r="C28" s="9" t="s">
        <v>335</v>
      </c>
      <c r="D28" s="9" t="str">
        <f>"0,5405"</f>
        <v>0,5405</v>
      </c>
      <c r="E28" s="9" t="s">
        <v>19</v>
      </c>
      <c r="F28" s="9" t="s">
        <v>20</v>
      </c>
      <c r="G28" s="10" t="s">
        <v>125</v>
      </c>
      <c r="H28" s="10" t="s">
        <v>96</v>
      </c>
      <c r="I28" s="10" t="s">
        <v>189</v>
      </c>
      <c r="J28" s="11"/>
      <c r="K28" s="9" t="str">
        <f>"200,0"</f>
        <v>200,0</v>
      </c>
      <c r="L28" s="10" t="str">
        <f>"108,1000"</f>
        <v>108,1000</v>
      </c>
      <c r="M28" s="9" t="s">
        <v>28</v>
      </c>
    </row>
    <row r="29" spans="1:13" ht="12.75">
      <c r="A29" s="12" t="s">
        <v>336</v>
      </c>
      <c r="B29" s="12" t="s">
        <v>337</v>
      </c>
      <c r="C29" s="12" t="s">
        <v>338</v>
      </c>
      <c r="D29" s="12" t="str">
        <f>"0,5366"</f>
        <v>0,5366</v>
      </c>
      <c r="E29" s="12" t="s">
        <v>243</v>
      </c>
      <c r="F29" s="12" t="s">
        <v>244</v>
      </c>
      <c r="G29" s="13" t="s">
        <v>125</v>
      </c>
      <c r="H29" s="13" t="s">
        <v>96</v>
      </c>
      <c r="I29" s="13" t="s">
        <v>253</v>
      </c>
      <c r="J29" s="14"/>
      <c r="K29" s="12" t="str">
        <f>"185,0"</f>
        <v>185,0</v>
      </c>
      <c r="L29" s="13" t="str">
        <f>"99,2710"</f>
        <v>99,2710</v>
      </c>
      <c r="M29" s="12" t="s">
        <v>28</v>
      </c>
    </row>
    <row r="30" spans="1:13" ht="12.75">
      <c r="A30" s="12" t="s">
        <v>339</v>
      </c>
      <c r="B30" s="12" t="s">
        <v>340</v>
      </c>
      <c r="C30" s="12" t="s">
        <v>338</v>
      </c>
      <c r="D30" s="12" t="str">
        <f>"0,5366"</f>
        <v>0,5366</v>
      </c>
      <c r="E30" s="12" t="s">
        <v>243</v>
      </c>
      <c r="F30" s="12" t="s">
        <v>244</v>
      </c>
      <c r="G30" s="13" t="s">
        <v>125</v>
      </c>
      <c r="H30" s="13" t="s">
        <v>96</v>
      </c>
      <c r="I30" s="13" t="s">
        <v>253</v>
      </c>
      <c r="J30" s="14"/>
      <c r="K30" s="12" t="str">
        <f>"185,0"</f>
        <v>185,0</v>
      </c>
      <c r="L30" s="13" t="str">
        <f>"99,5688"</f>
        <v>99,5688</v>
      </c>
      <c r="M30" s="12" t="s">
        <v>28</v>
      </c>
    </row>
    <row r="31" spans="1:13" ht="12.75">
      <c r="A31" s="15" t="s">
        <v>341</v>
      </c>
      <c r="B31" s="15" t="s">
        <v>342</v>
      </c>
      <c r="C31" s="15" t="s">
        <v>343</v>
      </c>
      <c r="D31" s="15" t="str">
        <f>"0,5388"</f>
        <v>0,5388</v>
      </c>
      <c r="E31" s="15" t="s">
        <v>47</v>
      </c>
      <c r="F31" s="15" t="s">
        <v>48</v>
      </c>
      <c r="G31" s="16" t="s">
        <v>249</v>
      </c>
      <c r="H31" s="16" t="s">
        <v>162</v>
      </c>
      <c r="I31" s="17" t="s">
        <v>221</v>
      </c>
      <c r="J31" s="17"/>
      <c r="K31" s="15" t="str">
        <f>"150,0"</f>
        <v>150,0</v>
      </c>
      <c r="L31" s="16" t="str">
        <f>"103,5304"</f>
        <v>103,5304</v>
      </c>
      <c r="M31" s="15" t="s">
        <v>28</v>
      </c>
    </row>
    <row r="32" spans="1:13" ht="12.75">
      <c r="A32" s="4"/>
      <c r="B32" s="4"/>
      <c r="C32" s="4"/>
      <c r="D32" s="4"/>
      <c r="E32" s="4"/>
      <c r="F32" s="4"/>
      <c r="G32" s="3"/>
      <c r="H32" s="3"/>
      <c r="I32" s="3"/>
      <c r="J32" s="3"/>
      <c r="K32" s="4"/>
      <c r="L32" s="3"/>
      <c r="M32" s="4"/>
    </row>
    <row r="33" spans="1:13" ht="15">
      <c r="A33" s="4"/>
      <c r="B33" s="4"/>
      <c r="C33" s="4"/>
      <c r="D33" s="4"/>
      <c r="E33" s="18" t="s">
        <v>112</v>
      </c>
      <c r="F33" s="18" t="s">
        <v>151</v>
      </c>
      <c r="G33" s="3"/>
      <c r="H33" s="3"/>
      <c r="I33" s="3"/>
      <c r="J33" s="3"/>
      <c r="K33" s="4"/>
      <c r="L33" s="3"/>
      <c r="M33" s="4"/>
    </row>
    <row r="34" spans="1:13" ht="15">
      <c r="A34" s="4"/>
      <c r="B34" s="4"/>
      <c r="C34" s="4"/>
      <c r="D34" s="4"/>
      <c r="E34" s="18" t="s">
        <v>113</v>
      </c>
      <c r="F34" s="18" t="s">
        <v>152</v>
      </c>
      <c r="G34" s="3"/>
      <c r="H34" s="3"/>
      <c r="I34" s="3"/>
      <c r="J34" s="3"/>
      <c r="K34" s="4"/>
      <c r="L34" s="3"/>
      <c r="M34" s="4"/>
    </row>
    <row r="35" spans="1:13" ht="15">
      <c r="A35" s="4"/>
      <c r="B35" s="4"/>
      <c r="C35" s="4"/>
      <c r="D35" s="4"/>
      <c r="E35" s="18" t="s">
        <v>114</v>
      </c>
      <c r="F35" s="18" t="s">
        <v>153</v>
      </c>
      <c r="G35" s="3"/>
      <c r="H35" s="3"/>
      <c r="I35" s="3"/>
      <c r="J35" s="3"/>
      <c r="K35" s="4"/>
      <c r="L35" s="3"/>
      <c r="M35" s="4"/>
    </row>
    <row r="36" spans="1:13" ht="15">
      <c r="A36" s="4"/>
      <c r="B36" s="4"/>
      <c r="C36" s="4"/>
      <c r="D36" s="4"/>
      <c r="E36" s="18" t="s">
        <v>115</v>
      </c>
      <c r="F36" s="18" t="s">
        <v>154</v>
      </c>
      <c r="G36" s="3"/>
      <c r="H36" s="3"/>
      <c r="I36" s="3"/>
      <c r="J36" s="3"/>
      <c r="K36" s="4"/>
      <c r="L36" s="3"/>
      <c r="M36" s="4"/>
    </row>
    <row r="37" spans="1:13" ht="15">
      <c r="A37" s="4"/>
      <c r="B37" s="4"/>
      <c r="C37" s="4"/>
      <c r="D37" s="4"/>
      <c r="E37" s="18" t="s">
        <v>115</v>
      </c>
      <c r="F37" s="18" t="s">
        <v>155</v>
      </c>
      <c r="G37" s="3"/>
      <c r="H37" s="3"/>
      <c r="I37" s="3"/>
      <c r="J37" s="3"/>
      <c r="K37" s="4"/>
      <c r="L37" s="3"/>
      <c r="M37" s="4"/>
    </row>
    <row r="38" spans="6:13" ht="12.75">
      <c r="F38" s="4"/>
      <c r="G38" s="3"/>
      <c r="H38" s="3"/>
      <c r="I38" s="3"/>
      <c r="J38" s="3"/>
      <c r="K38" s="4"/>
      <c r="L38" s="3"/>
      <c r="M38" s="4"/>
    </row>
    <row r="39" spans="6:13" ht="12.75">
      <c r="F39" s="4"/>
      <c r="G39" s="3"/>
      <c r="H39" s="3"/>
      <c r="I39" s="3"/>
      <c r="J39" s="3"/>
      <c r="K39" s="4"/>
      <c r="L39" s="3"/>
      <c r="M39" s="4"/>
    </row>
    <row r="40" spans="6:13" ht="12.75">
      <c r="F40" s="4"/>
      <c r="G40" s="3"/>
      <c r="H40" s="3"/>
      <c r="I40" s="3"/>
      <c r="J40" s="3"/>
      <c r="K40" s="4"/>
      <c r="L40" s="3"/>
      <c r="M40" s="4"/>
    </row>
    <row r="41" spans="1:13" ht="18">
      <c r="A41" s="19" t="s">
        <v>116</v>
      </c>
      <c r="B41" s="19"/>
      <c r="C41" s="4"/>
      <c r="D41" s="4"/>
      <c r="E41" s="4"/>
      <c r="F41" s="4"/>
      <c r="G41" s="3"/>
      <c r="H41" s="3"/>
      <c r="I41" s="3"/>
      <c r="J41" s="3"/>
      <c r="K41" s="4"/>
      <c r="L41" s="3"/>
      <c r="M41" s="4"/>
    </row>
    <row r="42" spans="1:13" ht="15">
      <c r="A42" s="20" t="s">
        <v>117</v>
      </c>
      <c r="B42" s="20"/>
      <c r="C42" s="4"/>
      <c r="D42" s="4"/>
      <c r="E42" s="4"/>
      <c r="F42" s="4"/>
      <c r="G42" s="3"/>
      <c r="H42" s="3"/>
      <c r="I42" s="3"/>
      <c r="J42" s="3"/>
      <c r="K42" s="4"/>
      <c r="L42" s="3"/>
      <c r="M42" s="4"/>
    </row>
    <row r="43" spans="1:13" ht="14.25">
      <c r="A43" s="22"/>
      <c r="B43" s="23" t="s">
        <v>127</v>
      </c>
      <c r="C43" s="4"/>
      <c r="D43" s="4"/>
      <c r="E43" s="4"/>
      <c r="F43" s="4"/>
      <c r="G43" s="3"/>
      <c r="H43" s="3"/>
      <c r="I43" s="3"/>
      <c r="J43" s="3"/>
      <c r="K43" s="4"/>
      <c r="L43" s="3"/>
      <c r="M43" s="4"/>
    </row>
    <row r="44" spans="1:13" ht="15">
      <c r="A44" s="24" t="s">
        <v>119</v>
      </c>
      <c r="B44" s="24" t="s">
        <v>120</v>
      </c>
      <c r="C44" s="24" t="s">
        <v>121</v>
      </c>
      <c r="D44" s="24" t="s">
        <v>122</v>
      </c>
      <c r="E44" s="24" t="s">
        <v>123</v>
      </c>
      <c r="F44" s="4"/>
      <c r="G44" s="3"/>
      <c r="H44" s="3"/>
      <c r="I44" s="3"/>
      <c r="J44" s="3"/>
      <c r="K44" s="4"/>
      <c r="L44" s="3"/>
      <c r="M44" s="4"/>
    </row>
    <row r="45" spans="1:13" ht="12.75">
      <c r="A45" s="21" t="s">
        <v>344</v>
      </c>
      <c r="B45" s="4" t="s">
        <v>127</v>
      </c>
      <c r="C45" s="4" t="s">
        <v>65</v>
      </c>
      <c r="D45" s="4" t="s">
        <v>345</v>
      </c>
      <c r="E45" s="25" t="s">
        <v>346</v>
      </c>
      <c r="F45" s="4"/>
      <c r="G45" s="3"/>
      <c r="H45" s="3"/>
      <c r="I45" s="3"/>
      <c r="J45" s="3"/>
      <c r="K45" s="4"/>
      <c r="L45" s="3"/>
      <c r="M45" s="4"/>
    </row>
    <row r="46" spans="1:13" ht="12.75">
      <c r="A46" s="4"/>
      <c r="B46" s="4"/>
      <c r="C46" s="4"/>
      <c r="D46" s="4"/>
      <c r="E46" s="4"/>
      <c r="F46" s="4"/>
      <c r="G46" s="3"/>
      <c r="H46" s="3"/>
      <c r="I46" s="3"/>
      <c r="J46" s="3"/>
      <c r="K46" s="4"/>
      <c r="L46" s="3"/>
      <c r="M46" s="4"/>
    </row>
    <row r="47" spans="1:13" ht="14.25">
      <c r="A47" s="22"/>
      <c r="B47" s="23" t="s">
        <v>133</v>
      </c>
      <c r="C47" s="4"/>
      <c r="D47" s="4"/>
      <c r="E47" s="4"/>
      <c r="F47" s="4"/>
      <c r="G47" s="3"/>
      <c r="H47" s="3"/>
      <c r="I47" s="3"/>
      <c r="J47" s="3"/>
      <c r="K47" s="4"/>
      <c r="L47" s="3"/>
      <c r="M47" s="4"/>
    </row>
    <row r="48" spans="1:13" ht="15">
      <c r="A48" s="24" t="s">
        <v>119</v>
      </c>
      <c r="B48" s="24" t="s">
        <v>120</v>
      </c>
      <c r="C48" s="24" t="s">
        <v>121</v>
      </c>
      <c r="D48" s="24" t="s">
        <v>122</v>
      </c>
      <c r="E48" s="24" t="s">
        <v>123</v>
      </c>
      <c r="F48" s="4"/>
      <c r="G48" s="3"/>
      <c r="H48" s="3"/>
      <c r="I48" s="3"/>
      <c r="J48" s="3"/>
      <c r="K48" s="4"/>
      <c r="L48" s="3"/>
      <c r="M48" s="4"/>
    </row>
    <row r="49" spans="1:13" ht="12.75">
      <c r="A49" s="21" t="s">
        <v>347</v>
      </c>
      <c r="B49" s="4" t="s">
        <v>149</v>
      </c>
      <c r="C49" s="4" t="s">
        <v>128</v>
      </c>
      <c r="D49" s="4" t="s">
        <v>187</v>
      </c>
      <c r="E49" s="25" t="s">
        <v>348</v>
      </c>
      <c r="F49" s="4"/>
      <c r="G49" s="3"/>
      <c r="H49" s="3"/>
      <c r="I49" s="3"/>
      <c r="J49" s="3"/>
      <c r="K49" s="4"/>
      <c r="L49" s="3"/>
      <c r="M49" s="4"/>
    </row>
    <row r="50" spans="1:13" ht="12.75">
      <c r="A50" s="4"/>
      <c r="B50" s="4"/>
      <c r="C50" s="4"/>
      <c r="D50" s="4"/>
      <c r="E50" s="4"/>
      <c r="F50" s="4"/>
      <c r="G50" s="3"/>
      <c r="H50" s="3"/>
      <c r="I50" s="3"/>
      <c r="J50" s="3"/>
      <c r="K50" s="4"/>
      <c r="L50" s="3"/>
      <c r="M50" s="4"/>
    </row>
    <row r="51" spans="1:13" ht="12.75">
      <c r="A51" s="4"/>
      <c r="B51" s="4"/>
      <c r="C51" s="4"/>
      <c r="D51" s="4"/>
      <c r="E51" s="4"/>
      <c r="F51" s="4"/>
      <c r="G51" s="3"/>
      <c r="H51" s="3"/>
      <c r="I51" s="3"/>
      <c r="J51" s="3"/>
      <c r="K51" s="4"/>
      <c r="L51" s="3"/>
      <c r="M51" s="4"/>
    </row>
    <row r="52" spans="1:13" ht="15">
      <c r="A52" s="20" t="s">
        <v>136</v>
      </c>
      <c r="B52" s="20"/>
      <c r="C52" s="4"/>
      <c r="D52" s="4"/>
      <c r="E52" s="4"/>
      <c r="F52" s="4"/>
      <c r="G52" s="3"/>
      <c r="H52" s="3"/>
      <c r="I52" s="3"/>
      <c r="J52" s="3"/>
      <c r="K52" s="4"/>
      <c r="L52" s="3"/>
      <c r="M52" s="4"/>
    </row>
    <row r="53" spans="1:13" ht="14.25">
      <c r="A53" s="22"/>
      <c r="B53" s="23" t="s">
        <v>137</v>
      </c>
      <c r="C53" s="4"/>
      <c r="D53" s="4"/>
      <c r="E53" s="4"/>
      <c r="F53" s="4"/>
      <c r="G53" s="3"/>
      <c r="H53" s="3"/>
      <c r="I53" s="3"/>
      <c r="J53" s="3"/>
      <c r="K53" s="4"/>
      <c r="L53" s="3"/>
      <c r="M53" s="4"/>
    </row>
    <row r="54" spans="1:13" ht="15">
      <c r="A54" s="24" t="s">
        <v>119</v>
      </c>
      <c r="B54" s="24" t="s">
        <v>120</v>
      </c>
      <c r="C54" s="24" t="s">
        <v>121</v>
      </c>
      <c r="D54" s="24" t="s">
        <v>122</v>
      </c>
      <c r="E54" s="24" t="s">
        <v>123</v>
      </c>
      <c r="F54" s="4"/>
      <c r="G54" s="3"/>
      <c r="H54" s="3"/>
      <c r="I54" s="3"/>
      <c r="J54" s="3"/>
      <c r="K54" s="4"/>
      <c r="L54" s="3"/>
      <c r="M54" s="4"/>
    </row>
    <row r="55" spans="1:13" ht="12.75">
      <c r="A55" s="21" t="s">
        <v>349</v>
      </c>
      <c r="B55" s="4" t="s">
        <v>350</v>
      </c>
      <c r="C55" s="4" t="s">
        <v>37</v>
      </c>
      <c r="D55" s="4" t="s">
        <v>330</v>
      </c>
      <c r="E55" s="25" t="s">
        <v>351</v>
      </c>
      <c r="F55" s="4"/>
      <c r="G55" s="3"/>
      <c r="H55" s="3"/>
      <c r="I55" s="3"/>
      <c r="J55" s="3"/>
      <c r="K55" s="4"/>
      <c r="L55" s="3"/>
      <c r="M55" s="4"/>
    </row>
    <row r="56" spans="1:13" ht="12.75">
      <c r="A56" s="4"/>
      <c r="B56" s="4"/>
      <c r="C56" s="4"/>
      <c r="D56" s="4"/>
      <c r="E56" s="4"/>
      <c r="F56" s="4"/>
      <c r="G56" s="3"/>
      <c r="H56" s="3"/>
      <c r="I56" s="3"/>
      <c r="J56" s="3"/>
      <c r="K56" s="4"/>
      <c r="L56" s="3"/>
      <c r="M56" s="4"/>
    </row>
    <row r="57" spans="1:13" ht="14.25">
      <c r="A57" s="22"/>
      <c r="B57" s="23" t="s">
        <v>279</v>
      </c>
      <c r="C57" s="4"/>
      <c r="D57" s="4"/>
      <c r="E57" s="4"/>
      <c r="F57" s="4"/>
      <c r="G57" s="3"/>
      <c r="H57" s="3"/>
      <c r="I57" s="3"/>
      <c r="J57" s="3"/>
      <c r="K57" s="4"/>
      <c r="L57" s="3"/>
      <c r="M57" s="4"/>
    </row>
    <row r="58" spans="1:13" ht="15">
      <c r="A58" s="24" t="s">
        <v>119</v>
      </c>
      <c r="B58" s="24" t="s">
        <v>120</v>
      </c>
      <c r="C58" s="24" t="s">
        <v>121</v>
      </c>
      <c r="D58" s="24" t="s">
        <v>122</v>
      </c>
      <c r="E58" s="24" t="s">
        <v>123</v>
      </c>
      <c r="F58" s="4"/>
      <c r="G58" s="3"/>
      <c r="H58" s="3"/>
      <c r="I58" s="3"/>
      <c r="J58" s="3"/>
      <c r="K58" s="4"/>
      <c r="L58" s="3"/>
      <c r="M58" s="4"/>
    </row>
    <row r="59" spans="1:13" ht="12.75">
      <c r="A59" s="21" t="s">
        <v>352</v>
      </c>
      <c r="B59" s="4" t="s">
        <v>124</v>
      </c>
      <c r="C59" s="4" t="s">
        <v>37</v>
      </c>
      <c r="D59" s="4" t="s">
        <v>87</v>
      </c>
      <c r="E59" s="25" t="s">
        <v>353</v>
      </c>
      <c r="F59" s="4"/>
      <c r="G59" s="3"/>
      <c r="H59" s="3"/>
      <c r="I59" s="3"/>
      <c r="J59" s="3"/>
      <c r="K59" s="4"/>
      <c r="L59" s="3"/>
      <c r="M59" s="4"/>
    </row>
    <row r="60" spans="1:13" ht="12.75">
      <c r="A60" s="4"/>
      <c r="B60" s="4"/>
      <c r="C60" s="4"/>
      <c r="D60" s="4"/>
      <c r="E60" s="4"/>
      <c r="F60" s="4"/>
      <c r="G60" s="3"/>
      <c r="H60" s="3"/>
      <c r="I60" s="3"/>
      <c r="J60" s="3"/>
      <c r="K60" s="4"/>
      <c r="L60" s="3"/>
      <c r="M60" s="4"/>
    </row>
    <row r="61" spans="1:13" ht="14.25">
      <c r="A61" s="22"/>
      <c r="B61" s="23" t="s">
        <v>127</v>
      </c>
      <c r="C61" s="4"/>
      <c r="D61" s="4"/>
      <c r="E61" s="4"/>
      <c r="F61" s="4"/>
      <c r="G61" s="3"/>
      <c r="H61" s="3"/>
      <c r="I61" s="3"/>
      <c r="J61" s="3"/>
      <c r="K61" s="4"/>
      <c r="L61" s="3"/>
      <c r="M61" s="4"/>
    </row>
    <row r="62" spans="1:13" ht="15">
      <c r="A62" s="24" t="s">
        <v>119</v>
      </c>
      <c r="B62" s="24" t="s">
        <v>120</v>
      </c>
      <c r="C62" s="24" t="s">
        <v>121</v>
      </c>
      <c r="D62" s="24" t="s">
        <v>122</v>
      </c>
      <c r="E62" s="24" t="s">
        <v>123</v>
      </c>
      <c r="F62" s="4"/>
      <c r="G62" s="3"/>
      <c r="H62" s="3"/>
      <c r="I62" s="3"/>
      <c r="J62" s="3"/>
      <c r="K62" s="4"/>
      <c r="L62" s="3"/>
      <c r="M62" s="4"/>
    </row>
    <row r="63" spans="1:13" ht="12.75">
      <c r="A63" s="21" t="s">
        <v>354</v>
      </c>
      <c r="B63" s="4" t="s">
        <v>127</v>
      </c>
      <c r="C63" s="4" t="s">
        <v>193</v>
      </c>
      <c r="D63" s="4" t="s">
        <v>96</v>
      </c>
      <c r="E63" s="25" t="s">
        <v>355</v>
      </c>
      <c r="F63" s="4"/>
      <c r="G63" s="3"/>
      <c r="H63" s="3"/>
      <c r="I63" s="3"/>
      <c r="J63" s="3"/>
      <c r="K63" s="4"/>
      <c r="L63" s="3"/>
      <c r="M63" s="4"/>
    </row>
    <row r="64" spans="1:13" ht="12.75">
      <c r="A64" s="21" t="s">
        <v>356</v>
      </c>
      <c r="B64" s="4" t="s">
        <v>127</v>
      </c>
      <c r="C64" s="4" t="s">
        <v>54</v>
      </c>
      <c r="D64" s="4" t="s">
        <v>189</v>
      </c>
      <c r="E64" s="25" t="s">
        <v>357</v>
      </c>
      <c r="F64" s="4"/>
      <c r="G64" s="3"/>
      <c r="H64" s="3"/>
      <c r="I64" s="3"/>
      <c r="J64" s="3"/>
      <c r="K64" s="4"/>
      <c r="L64" s="3"/>
      <c r="M64" s="4"/>
    </row>
    <row r="65" spans="1:13" ht="12.75">
      <c r="A65" s="21" t="s">
        <v>349</v>
      </c>
      <c r="B65" s="4" t="s">
        <v>127</v>
      </c>
      <c r="C65" s="4" t="s">
        <v>37</v>
      </c>
      <c r="D65" s="4" t="s">
        <v>330</v>
      </c>
      <c r="E65" s="25" t="s">
        <v>358</v>
      </c>
      <c r="F65" s="4"/>
      <c r="G65" s="3"/>
      <c r="H65" s="3"/>
      <c r="I65" s="3"/>
      <c r="J65" s="3"/>
      <c r="K65" s="4"/>
      <c r="L65" s="3"/>
      <c r="M65" s="4"/>
    </row>
    <row r="66" spans="1:13" ht="12.75">
      <c r="A66" s="21" t="s">
        <v>359</v>
      </c>
      <c r="B66" s="4" t="s">
        <v>127</v>
      </c>
      <c r="C66" s="4" t="s">
        <v>54</v>
      </c>
      <c r="D66" s="4" t="s">
        <v>253</v>
      </c>
      <c r="E66" s="25" t="s">
        <v>360</v>
      </c>
      <c r="F66" s="4"/>
      <c r="G66" s="3"/>
      <c r="H66" s="3"/>
      <c r="I66" s="3"/>
      <c r="J66" s="3"/>
      <c r="K66" s="4"/>
      <c r="L66" s="3"/>
      <c r="M66" s="4"/>
    </row>
    <row r="67" spans="1:13" ht="12.75">
      <c r="A67" s="21" t="s">
        <v>234</v>
      </c>
      <c r="B67" s="4" t="s">
        <v>127</v>
      </c>
      <c r="C67" s="4" t="s">
        <v>37</v>
      </c>
      <c r="D67" s="4" t="s">
        <v>125</v>
      </c>
      <c r="E67" s="25" t="s">
        <v>361</v>
      </c>
      <c r="F67" s="4"/>
      <c r="G67" s="3"/>
      <c r="H67" s="3"/>
      <c r="I67" s="3"/>
      <c r="J67" s="3"/>
      <c r="K67" s="4"/>
      <c r="L67" s="3"/>
      <c r="M67" s="4"/>
    </row>
    <row r="68" spans="1:13" ht="12.75">
      <c r="A68" s="33" t="s">
        <v>650</v>
      </c>
      <c r="B68" s="4" t="s">
        <v>127</v>
      </c>
      <c r="C68" s="33" t="s">
        <v>65</v>
      </c>
      <c r="D68" s="33" t="s">
        <v>427</v>
      </c>
      <c r="E68" s="36" t="s">
        <v>649</v>
      </c>
      <c r="F68" s="4"/>
      <c r="G68" s="3"/>
      <c r="H68" s="3"/>
      <c r="I68" s="3"/>
      <c r="J68" s="3"/>
      <c r="K68" s="4"/>
      <c r="L68" s="3"/>
      <c r="M68" s="4"/>
    </row>
    <row r="69" spans="6:13" ht="12.75">
      <c r="F69" s="4"/>
      <c r="G69" s="3"/>
      <c r="H69" s="3"/>
      <c r="I69" s="3"/>
      <c r="J69" s="3"/>
      <c r="K69" s="4"/>
      <c r="L69" s="3"/>
      <c r="M69" s="4"/>
    </row>
    <row r="70" spans="1:13" ht="14.25">
      <c r="A70" s="22"/>
      <c r="B70" s="23" t="s">
        <v>133</v>
      </c>
      <c r="C70" s="4"/>
      <c r="D70" s="4"/>
      <c r="E70" s="4"/>
      <c r="F70" s="4"/>
      <c r="G70" s="3"/>
      <c r="H70" s="3"/>
      <c r="I70" s="3"/>
      <c r="J70" s="3"/>
      <c r="K70" s="4"/>
      <c r="L70" s="3"/>
      <c r="M70" s="4"/>
    </row>
    <row r="71" spans="1:5" ht="15">
      <c r="A71" s="24" t="s">
        <v>119</v>
      </c>
      <c r="B71" s="24" t="s">
        <v>120</v>
      </c>
      <c r="C71" s="24" t="s">
        <v>121</v>
      </c>
      <c r="D71" s="24" t="s">
        <v>122</v>
      </c>
      <c r="E71" s="24" t="s">
        <v>123</v>
      </c>
    </row>
    <row r="72" spans="1:5" ht="12.75">
      <c r="A72" s="21" t="s">
        <v>362</v>
      </c>
      <c r="B72" s="4" t="s">
        <v>146</v>
      </c>
      <c r="C72" s="4" t="s">
        <v>40</v>
      </c>
      <c r="D72" s="4" t="s">
        <v>161</v>
      </c>
      <c r="E72" s="25" t="s">
        <v>363</v>
      </c>
    </row>
    <row r="73" spans="1:5" ht="12.75">
      <c r="A73" s="21" t="s">
        <v>364</v>
      </c>
      <c r="B73" s="4" t="s">
        <v>197</v>
      </c>
      <c r="C73" s="4" t="s">
        <v>54</v>
      </c>
      <c r="D73" s="4" t="s">
        <v>162</v>
      </c>
      <c r="E73" s="25" t="s">
        <v>365</v>
      </c>
    </row>
    <row r="74" spans="1:5" ht="12.75">
      <c r="A74" s="21" t="s">
        <v>359</v>
      </c>
      <c r="B74" s="4" t="s">
        <v>134</v>
      </c>
      <c r="C74" s="4" t="s">
        <v>54</v>
      </c>
      <c r="D74" s="4" t="s">
        <v>253</v>
      </c>
      <c r="E74" s="25" t="s">
        <v>366</v>
      </c>
    </row>
  </sheetData>
  <sheetProtection/>
  <mergeCells count="18">
    <mergeCell ref="A14:L14"/>
    <mergeCell ref="A11:L11"/>
    <mergeCell ref="A17:M17"/>
    <mergeCell ref="A21:M21"/>
    <mergeCell ref="A27:M2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28">
      <selection activeCell="B61" sqref="B61"/>
    </sheetView>
  </sheetViews>
  <sheetFormatPr defaultColWidth="9.00390625" defaultRowHeight="12.75"/>
  <cols>
    <col min="1" max="1" width="26.00390625" style="0" bestFit="1" customWidth="1"/>
    <col min="2" max="2" width="29.0039062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4.375" style="0" bestFit="1" customWidth="1"/>
    <col min="7" max="9" width="6.625" style="0" bestFit="1" customWidth="1"/>
    <col min="10" max="10" width="5.625" style="0" bestFit="1" customWidth="1"/>
    <col min="11" max="11" width="11.25390625" style="0" bestFit="1" customWidth="1"/>
    <col min="12" max="12" width="8.625" style="0" bestFit="1" customWidth="1"/>
    <col min="13" max="13" width="17.25390625" style="0" bestFit="1" customWidth="1"/>
  </cols>
  <sheetData>
    <row r="1" spans="1:13" ht="12.75">
      <c r="A1" s="41" t="s">
        <v>367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02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1"/>
    </row>
    <row r="5" spans="1:13" ht="15">
      <c r="A5" s="38" t="s">
        <v>368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</row>
    <row r="6" spans="1:13" ht="12.75">
      <c r="A6" s="9" t="s">
        <v>369</v>
      </c>
      <c r="B6" s="9" t="s">
        <v>370</v>
      </c>
      <c r="C6" s="9" t="s">
        <v>371</v>
      </c>
      <c r="D6" s="9" t="str">
        <f>"1,0769"</f>
        <v>1,0769</v>
      </c>
      <c r="E6" s="9" t="s">
        <v>243</v>
      </c>
      <c r="F6" s="9" t="s">
        <v>244</v>
      </c>
      <c r="G6" s="10" t="s">
        <v>66</v>
      </c>
      <c r="H6" s="10" t="s">
        <v>39</v>
      </c>
      <c r="I6" s="10" t="s">
        <v>372</v>
      </c>
      <c r="J6" s="11"/>
      <c r="K6" s="9" t="str">
        <f>"57,5"</f>
        <v>57,5</v>
      </c>
      <c r="L6" s="10" t="str">
        <f>"61,9218"</f>
        <v>61,9218</v>
      </c>
      <c r="M6" s="9" t="s">
        <v>28</v>
      </c>
    </row>
    <row r="7" spans="1:13" ht="12.75">
      <c r="A7" s="15" t="s">
        <v>373</v>
      </c>
      <c r="B7" s="15" t="s">
        <v>374</v>
      </c>
      <c r="C7" s="15" t="s">
        <v>375</v>
      </c>
      <c r="D7" s="15" t="str">
        <f>"1,0467"</f>
        <v>1,0467</v>
      </c>
      <c r="E7" s="15" t="s">
        <v>47</v>
      </c>
      <c r="F7" s="15" t="s">
        <v>48</v>
      </c>
      <c r="G7" s="16" t="s">
        <v>66</v>
      </c>
      <c r="H7" s="17" t="s">
        <v>39</v>
      </c>
      <c r="I7" s="16" t="s">
        <v>39</v>
      </c>
      <c r="J7" s="17"/>
      <c r="K7" s="15" t="str">
        <f>"55,0"</f>
        <v>55,0</v>
      </c>
      <c r="L7" s="16" t="str">
        <f>"57,5685"</f>
        <v>57,5685</v>
      </c>
      <c r="M7" s="15" t="s">
        <v>28</v>
      </c>
    </row>
    <row r="8" spans="1:13" ht="12.75">
      <c r="A8" s="4"/>
      <c r="B8" s="4"/>
      <c r="C8" s="4"/>
      <c r="D8" s="4"/>
      <c r="E8" s="4"/>
      <c r="F8" s="4"/>
      <c r="G8" s="3"/>
      <c r="H8" s="3"/>
      <c r="I8" s="3"/>
      <c r="J8" s="3"/>
      <c r="K8" s="4"/>
      <c r="L8" s="3"/>
      <c r="M8" s="4"/>
    </row>
    <row r="9" spans="1:13" ht="15">
      <c r="A9" s="37" t="s">
        <v>239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4"/>
    </row>
    <row r="10" spans="1:13" ht="12.75">
      <c r="A10" s="6" t="s">
        <v>376</v>
      </c>
      <c r="B10" s="6" t="s">
        <v>377</v>
      </c>
      <c r="C10" s="6" t="s">
        <v>378</v>
      </c>
      <c r="D10" s="6" t="str">
        <f>"0,9305"</f>
        <v>0,9305</v>
      </c>
      <c r="E10" s="6" t="s">
        <v>379</v>
      </c>
      <c r="F10" s="6" t="s">
        <v>20</v>
      </c>
      <c r="G10" s="7" t="s">
        <v>128</v>
      </c>
      <c r="H10" s="7" t="s">
        <v>380</v>
      </c>
      <c r="I10" s="7" t="s">
        <v>65</v>
      </c>
      <c r="J10" s="8" t="s">
        <v>381</v>
      </c>
      <c r="K10" s="6" t="str">
        <f>"75,0"</f>
        <v>75,0</v>
      </c>
      <c r="L10" s="7" t="str">
        <f>"85,8386"</f>
        <v>85,8386</v>
      </c>
      <c r="M10" s="6" t="s">
        <v>28</v>
      </c>
    </row>
    <row r="11" spans="1:13" ht="12.75">
      <c r="A11" s="4"/>
      <c r="B11" s="4"/>
      <c r="C11" s="4"/>
      <c r="D11" s="4"/>
      <c r="E11" s="4"/>
      <c r="F11" s="4"/>
      <c r="G11" s="3"/>
      <c r="H11" s="3"/>
      <c r="I11" s="3"/>
      <c r="J11" s="3"/>
      <c r="K11" s="4"/>
      <c r="L11" s="3"/>
      <c r="M11" s="4"/>
    </row>
    <row r="12" spans="1:13" ht="15">
      <c r="A12" s="37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"/>
    </row>
    <row r="13" spans="1:13" ht="12.75">
      <c r="A13" s="6" t="s">
        <v>382</v>
      </c>
      <c r="B13" s="6" t="s">
        <v>383</v>
      </c>
      <c r="C13" s="6" t="s">
        <v>384</v>
      </c>
      <c r="D13" s="6" t="str">
        <f>"0,7662"</f>
        <v>0,7662</v>
      </c>
      <c r="E13" s="6" t="s">
        <v>93</v>
      </c>
      <c r="F13" s="6" t="s">
        <v>94</v>
      </c>
      <c r="G13" s="7" t="s">
        <v>53</v>
      </c>
      <c r="H13" s="7" t="s">
        <v>385</v>
      </c>
      <c r="I13" s="8" t="s">
        <v>66</v>
      </c>
      <c r="J13" s="8"/>
      <c r="K13" s="6" t="str">
        <f>"47,5"</f>
        <v>47,5</v>
      </c>
      <c r="L13" s="7" t="str">
        <f>"39,3061"</f>
        <v>39,3061</v>
      </c>
      <c r="M13" s="6" t="s">
        <v>28</v>
      </c>
    </row>
    <row r="14" spans="1:13" ht="12.75">
      <c r="A14" s="4"/>
      <c r="B14" s="4"/>
      <c r="C14" s="4"/>
      <c r="D14" s="4"/>
      <c r="E14" s="4"/>
      <c r="F14" s="4"/>
      <c r="G14" s="3"/>
      <c r="H14" s="3"/>
      <c r="I14" s="3"/>
      <c r="J14" s="3"/>
      <c r="K14" s="4"/>
      <c r="L14" s="3"/>
      <c r="M14" s="4"/>
    </row>
    <row r="15" spans="1:13" ht="15">
      <c r="A15" s="37" t="s">
        <v>29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"/>
    </row>
    <row r="16" spans="1:13" ht="12.75">
      <c r="A16" s="28" t="s">
        <v>531</v>
      </c>
      <c r="B16" s="6" t="s">
        <v>386</v>
      </c>
      <c r="C16" s="6" t="s">
        <v>387</v>
      </c>
      <c r="D16" s="6" t="str">
        <f>"0,7423"</f>
        <v>0,7423</v>
      </c>
      <c r="E16" s="6" t="s">
        <v>19</v>
      </c>
      <c r="F16" s="6" t="s">
        <v>388</v>
      </c>
      <c r="G16" s="7" t="s">
        <v>389</v>
      </c>
      <c r="H16" s="8" t="s">
        <v>162</v>
      </c>
      <c r="I16" s="7" t="s">
        <v>88</v>
      </c>
      <c r="J16" s="8"/>
      <c r="K16" s="6" t="str">
        <f>"150,0"</f>
        <v>150,0</v>
      </c>
      <c r="L16" s="7" t="str">
        <f>"111,3525"</f>
        <v>111,3525</v>
      </c>
      <c r="M16" s="6"/>
    </row>
    <row r="17" spans="1:13" ht="12.75">
      <c r="A17" s="4"/>
      <c r="B17" s="4"/>
      <c r="C17" s="4"/>
      <c r="D17" s="4"/>
      <c r="E17" s="4"/>
      <c r="F17" s="4"/>
      <c r="G17" s="3"/>
      <c r="H17" s="3"/>
      <c r="I17" s="3"/>
      <c r="J17" s="3"/>
      <c r="K17" s="4"/>
      <c r="L17" s="3"/>
      <c r="M17" s="4"/>
    </row>
    <row r="18" spans="1:13" ht="15">
      <c r="A18" s="37" t="s">
        <v>79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4"/>
    </row>
    <row r="19" spans="1:13" ht="12.75">
      <c r="A19" s="9" t="s">
        <v>390</v>
      </c>
      <c r="B19" s="9" t="s">
        <v>391</v>
      </c>
      <c r="C19" s="9" t="s">
        <v>220</v>
      </c>
      <c r="D19" s="9" t="str">
        <f>"0,6723"</f>
        <v>0,6723</v>
      </c>
      <c r="E19" s="9" t="s">
        <v>93</v>
      </c>
      <c r="F19" s="9" t="s">
        <v>94</v>
      </c>
      <c r="G19" s="10" t="s">
        <v>55</v>
      </c>
      <c r="H19" s="10" t="s">
        <v>161</v>
      </c>
      <c r="I19" s="10" t="s">
        <v>392</v>
      </c>
      <c r="J19" s="11"/>
      <c r="K19" s="9" t="str">
        <f>"135,0"</f>
        <v>135,0</v>
      </c>
      <c r="L19" s="10" t="str">
        <f>"96,2061"</f>
        <v>96,2061</v>
      </c>
      <c r="M19" s="9" t="s">
        <v>28</v>
      </c>
    </row>
    <row r="20" spans="1:13" ht="12.75">
      <c r="A20" s="12" t="s">
        <v>393</v>
      </c>
      <c r="B20" s="12" t="s">
        <v>394</v>
      </c>
      <c r="C20" s="12" t="s">
        <v>395</v>
      </c>
      <c r="D20" s="12" t="str">
        <f>"0,7005"</f>
        <v>0,7005</v>
      </c>
      <c r="E20" s="12" t="s">
        <v>19</v>
      </c>
      <c r="F20" s="12" t="s">
        <v>396</v>
      </c>
      <c r="G20" s="13" t="s">
        <v>87</v>
      </c>
      <c r="H20" s="13" t="s">
        <v>88</v>
      </c>
      <c r="I20" s="14" t="s">
        <v>313</v>
      </c>
      <c r="J20" s="14"/>
      <c r="K20" s="12" t="str">
        <f>"150,0"</f>
        <v>150,0</v>
      </c>
      <c r="L20" s="13" t="str">
        <f>"106,1258"</f>
        <v>106,1258</v>
      </c>
      <c r="M20" s="12" t="s">
        <v>28</v>
      </c>
    </row>
    <row r="21" spans="1:13" ht="12.75">
      <c r="A21" s="12" t="s">
        <v>397</v>
      </c>
      <c r="B21" s="12" t="s">
        <v>398</v>
      </c>
      <c r="C21" s="12" t="s">
        <v>399</v>
      </c>
      <c r="D21" s="12" t="str">
        <f>"0,6680"</f>
        <v>0,6680</v>
      </c>
      <c r="E21" s="12" t="s">
        <v>93</v>
      </c>
      <c r="F21" s="12" t="s">
        <v>94</v>
      </c>
      <c r="G21" s="13" t="s">
        <v>55</v>
      </c>
      <c r="H21" s="13" t="s">
        <v>161</v>
      </c>
      <c r="I21" s="13" t="s">
        <v>400</v>
      </c>
      <c r="J21" s="14"/>
      <c r="K21" s="12" t="str">
        <f>"132,5"</f>
        <v>132,5</v>
      </c>
      <c r="L21" s="13" t="str">
        <f>"90,2802"</f>
        <v>90,2802</v>
      </c>
      <c r="M21" s="12" t="s">
        <v>28</v>
      </c>
    </row>
    <row r="22" spans="1:13" ht="12.75">
      <c r="A22" s="12" t="s">
        <v>401</v>
      </c>
      <c r="B22" s="12" t="s">
        <v>402</v>
      </c>
      <c r="C22" s="12" t="s">
        <v>403</v>
      </c>
      <c r="D22" s="12" t="str">
        <f>"0,6659"</f>
        <v>0,6659</v>
      </c>
      <c r="E22" s="12" t="s">
        <v>19</v>
      </c>
      <c r="F22" s="12" t="s">
        <v>20</v>
      </c>
      <c r="G22" s="13" t="s">
        <v>98</v>
      </c>
      <c r="H22" s="14" t="s">
        <v>404</v>
      </c>
      <c r="I22" s="13" t="s">
        <v>404</v>
      </c>
      <c r="J22" s="14"/>
      <c r="K22" s="12" t="str">
        <f>"142,5"</f>
        <v>142,5</v>
      </c>
      <c r="L22" s="13" t="str">
        <f>"94,8907"</f>
        <v>94,8907</v>
      </c>
      <c r="M22" s="12" t="s">
        <v>28</v>
      </c>
    </row>
    <row r="23" spans="1:13" ht="12.75">
      <c r="A23" s="12" t="s">
        <v>405</v>
      </c>
      <c r="B23" s="12" t="s">
        <v>91</v>
      </c>
      <c r="C23" s="12" t="s">
        <v>92</v>
      </c>
      <c r="D23" s="12" t="str">
        <f>"0,6687"</f>
        <v>0,6687</v>
      </c>
      <c r="E23" s="12" t="s">
        <v>93</v>
      </c>
      <c r="F23" s="12" t="s">
        <v>94</v>
      </c>
      <c r="G23" s="13" t="s">
        <v>161</v>
      </c>
      <c r="H23" s="14" t="s">
        <v>392</v>
      </c>
      <c r="I23" s="13" t="s">
        <v>392</v>
      </c>
      <c r="J23" s="14"/>
      <c r="K23" s="12" t="str">
        <f>"135,0"</f>
        <v>135,0</v>
      </c>
      <c r="L23" s="13" t="str">
        <f>"90,2745"</f>
        <v>90,2745</v>
      </c>
      <c r="M23" s="12" t="s">
        <v>28</v>
      </c>
    </row>
    <row r="24" spans="1:13" ht="12.75">
      <c r="A24" s="12" t="s">
        <v>406</v>
      </c>
      <c r="B24" s="12" t="s">
        <v>407</v>
      </c>
      <c r="C24" s="12" t="s">
        <v>408</v>
      </c>
      <c r="D24" s="12" t="str">
        <f>"0,6843"</f>
        <v>0,6843</v>
      </c>
      <c r="E24" s="12" t="s">
        <v>19</v>
      </c>
      <c r="F24" s="12" t="s">
        <v>305</v>
      </c>
      <c r="G24" s="13" t="s">
        <v>193</v>
      </c>
      <c r="H24" s="14" t="s">
        <v>345</v>
      </c>
      <c r="I24" s="14" t="s">
        <v>345</v>
      </c>
      <c r="J24" s="14"/>
      <c r="K24" s="12" t="str">
        <f>"82,5"</f>
        <v>82,5</v>
      </c>
      <c r="L24" s="13" t="str">
        <f>"56,4548"</f>
        <v>56,4548</v>
      </c>
      <c r="M24" s="12" t="s">
        <v>28</v>
      </c>
    </row>
    <row r="25" spans="1:13" ht="12.75">
      <c r="A25" s="15" t="s">
        <v>409</v>
      </c>
      <c r="B25" s="15" t="s">
        <v>410</v>
      </c>
      <c r="C25" s="15" t="s">
        <v>411</v>
      </c>
      <c r="D25" s="15" t="str">
        <f>"0,6774"</f>
        <v>0,6774</v>
      </c>
      <c r="E25" s="15" t="s">
        <v>205</v>
      </c>
      <c r="F25" s="15" t="s">
        <v>34</v>
      </c>
      <c r="G25" s="16" t="s">
        <v>40</v>
      </c>
      <c r="H25" s="16" t="s">
        <v>412</v>
      </c>
      <c r="I25" s="16" t="s">
        <v>413</v>
      </c>
      <c r="J25" s="17"/>
      <c r="K25" s="15" t="str">
        <f>"112,5"</f>
        <v>112,5</v>
      </c>
      <c r="L25" s="16" t="str">
        <f>"105,1663"</f>
        <v>105,1663</v>
      </c>
      <c r="M25" s="15" t="s">
        <v>28</v>
      </c>
    </row>
    <row r="26" spans="1:13" ht="12.75">
      <c r="A26" s="4"/>
      <c r="B26" s="4"/>
      <c r="C26" s="4"/>
      <c r="D26" s="4"/>
      <c r="E26" s="4"/>
      <c r="F26" s="4"/>
      <c r="G26" s="3"/>
      <c r="H26" s="3"/>
      <c r="I26" s="3"/>
      <c r="J26" s="3"/>
      <c r="K26" s="4"/>
      <c r="L26" s="3"/>
      <c r="M26" s="4"/>
    </row>
    <row r="27" spans="1:13" ht="15">
      <c r="A27" s="37" t="s">
        <v>169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4"/>
    </row>
    <row r="28" spans="1:13" ht="12.75">
      <c r="A28" s="6" t="s">
        <v>414</v>
      </c>
      <c r="B28" s="6" t="s">
        <v>415</v>
      </c>
      <c r="C28" s="6" t="s">
        <v>416</v>
      </c>
      <c r="D28" s="6" t="str">
        <f>"0,6230"</f>
        <v>0,6230</v>
      </c>
      <c r="E28" s="6" t="s">
        <v>63</v>
      </c>
      <c r="F28" s="6" t="s">
        <v>64</v>
      </c>
      <c r="G28" s="7" t="s">
        <v>54</v>
      </c>
      <c r="H28" s="7" t="s">
        <v>417</v>
      </c>
      <c r="I28" s="7" t="s">
        <v>55</v>
      </c>
      <c r="J28" s="8"/>
      <c r="K28" s="6" t="str">
        <f>"120,0"</f>
        <v>120,0</v>
      </c>
      <c r="L28" s="7" t="str">
        <f>"74,7600"</f>
        <v>74,7600</v>
      </c>
      <c r="M28" s="6" t="s">
        <v>28</v>
      </c>
    </row>
    <row r="29" spans="1:13" ht="12.75">
      <c r="A29" s="4"/>
      <c r="B29" s="4"/>
      <c r="C29" s="4"/>
      <c r="D29" s="4"/>
      <c r="E29" s="4"/>
      <c r="F29" s="4"/>
      <c r="G29" s="3"/>
      <c r="H29" s="3"/>
      <c r="I29" s="3"/>
      <c r="J29" s="3"/>
      <c r="K29" s="4"/>
      <c r="L29" s="3"/>
      <c r="M29" s="4"/>
    </row>
    <row r="30" spans="1:13" ht="15">
      <c r="A30" s="37" t="s">
        <v>261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"/>
    </row>
    <row r="31" spans="1:13" ht="12.75">
      <c r="A31" s="9" t="s">
        <v>418</v>
      </c>
      <c r="B31" s="9" t="s">
        <v>419</v>
      </c>
      <c r="C31" s="9" t="s">
        <v>420</v>
      </c>
      <c r="D31" s="9" t="str">
        <f>"0,5935"</f>
        <v>0,5935</v>
      </c>
      <c r="E31" s="9" t="s">
        <v>19</v>
      </c>
      <c r="F31" s="9" t="s">
        <v>20</v>
      </c>
      <c r="G31" s="11" t="s">
        <v>107</v>
      </c>
      <c r="H31" s="11" t="s">
        <v>107</v>
      </c>
      <c r="I31" s="10" t="s">
        <v>107</v>
      </c>
      <c r="J31" s="11" t="s">
        <v>332</v>
      </c>
      <c r="K31" s="9" t="str">
        <f>"160,0"</f>
        <v>160,0</v>
      </c>
      <c r="L31" s="10" t="str">
        <f>"97,8088"</f>
        <v>97,8088</v>
      </c>
      <c r="M31" s="9" t="s">
        <v>28</v>
      </c>
    </row>
    <row r="32" spans="1:13" ht="12.75">
      <c r="A32" s="12" t="s">
        <v>421</v>
      </c>
      <c r="B32" s="12" t="s">
        <v>422</v>
      </c>
      <c r="C32" s="12" t="s">
        <v>423</v>
      </c>
      <c r="D32" s="12" t="str">
        <f>"0,6000"</f>
        <v>0,6000</v>
      </c>
      <c r="E32" s="12" t="s">
        <v>93</v>
      </c>
      <c r="F32" s="12" t="s">
        <v>94</v>
      </c>
      <c r="G32" s="14" t="s">
        <v>392</v>
      </c>
      <c r="H32" s="13" t="s">
        <v>392</v>
      </c>
      <c r="I32" s="14" t="s">
        <v>87</v>
      </c>
      <c r="J32" s="14"/>
      <c r="K32" s="12" t="str">
        <f>"135,0"</f>
        <v>135,0</v>
      </c>
      <c r="L32" s="13" t="str">
        <f>"81,0000"</f>
        <v>81,0000</v>
      </c>
      <c r="M32" s="12" t="s">
        <v>28</v>
      </c>
    </row>
    <row r="33" spans="1:13" ht="12.75">
      <c r="A33" s="12" t="s">
        <v>424</v>
      </c>
      <c r="B33" s="12" t="s">
        <v>425</v>
      </c>
      <c r="C33" s="12" t="s">
        <v>426</v>
      </c>
      <c r="D33" s="12" t="str">
        <f>"0,6074"</f>
        <v>0,6074</v>
      </c>
      <c r="E33" s="12" t="s">
        <v>19</v>
      </c>
      <c r="F33" s="12" t="s">
        <v>305</v>
      </c>
      <c r="G33" s="13" t="s">
        <v>162</v>
      </c>
      <c r="H33" s="13" t="s">
        <v>221</v>
      </c>
      <c r="I33" s="13" t="s">
        <v>427</v>
      </c>
      <c r="J33" s="14"/>
      <c r="K33" s="12" t="str">
        <f>"162,5"</f>
        <v>162,5</v>
      </c>
      <c r="L33" s="13" t="str">
        <f>"98,7025"</f>
        <v>98,7025</v>
      </c>
      <c r="M33" s="12" t="s">
        <v>28</v>
      </c>
    </row>
    <row r="34" spans="1:13" ht="12.75">
      <c r="A34" s="12" t="s">
        <v>428</v>
      </c>
      <c r="B34" s="12" t="s">
        <v>429</v>
      </c>
      <c r="C34" s="12" t="s">
        <v>430</v>
      </c>
      <c r="D34" s="12" t="str">
        <f>"0,5869"</f>
        <v>0,5869</v>
      </c>
      <c r="E34" s="12" t="s">
        <v>19</v>
      </c>
      <c r="F34" s="12" t="s">
        <v>20</v>
      </c>
      <c r="G34" s="13" t="s">
        <v>249</v>
      </c>
      <c r="H34" s="13" t="s">
        <v>162</v>
      </c>
      <c r="I34" s="14" t="s">
        <v>221</v>
      </c>
      <c r="J34" s="14"/>
      <c r="K34" s="12" t="str">
        <f>"150,0"</f>
        <v>150,0</v>
      </c>
      <c r="L34" s="13" t="str">
        <f>"88,0350"</f>
        <v>88,0350</v>
      </c>
      <c r="M34" s="12" t="s">
        <v>28</v>
      </c>
    </row>
    <row r="35" spans="1:13" ht="12.75">
      <c r="A35" s="12" t="s">
        <v>431</v>
      </c>
      <c r="B35" s="12" t="s">
        <v>432</v>
      </c>
      <c r="C35" s="12" t="s">
        <v>430</v>
      </c>
      <c r="D35" s="12" t="str">
        <f>"0,5869"</f>
        <v>0,5869</v>
      </c>
      <c r="E35" s="12" t="s">
        <v>19</v>
      </c>
      <c r="F35" s="12" t="s">
        <v>433</v>
      </c>
      <c r="G35" s="13" t="s">
        <v>161</v>
      </c>
      <c r="H35" s="14" t="s">
        <v>392</v>
      </c>
      <c r="I35" s="14" t="s">
        <v>392</v>
      </c>
      <c r="J35" s="14"/>
      <c r="K35" s="12" t="str">
        <f>"130,0"</f>
        <v>130,0</v>
      </c>
      <c r="L35" s="13" t="str">
        <f>"76,2970"</f>
        <v>76,2970</v>
      </c>
      <c r="M35" s="12" t="s">
        <v>28</v>
      </c>
    </row>
    <row r="36" spans="1:13" ht="12.75">
      <c r="A36" s="12" t="s">
        <v>434</v>
      </c>
      <c r="B36" s="12" t="s">
        <v>435</v>
      </c>
      <c r="C36" s="12" t="s">
        <v>436</v>
      </c>
      <c r="D36" s="12" t="str">
        <f>"0,5969"</f>
        <v>0,5969</v>
      </c>
      <c r="E36" s="12" t="s">
        <v>19</v>
      </c>
      <c r="F36" s="12" t="s">
        <v>20</v>
      </c>
      <c r="G36" s="13" t="s">
        <v>187</v>
      </c>
      <c r="H36" s="14" t="s">
        <v>417</v>
      </c>
      <c r="I36" s="13" t="s">
        <v>437</v>
      </c>
      <c r="J36" s="14"/>
      <c r="K36" s="12" t="str">
        <f>"117,5"</f>
        <v>117,5</v>
      </c>
      <c r="L36" s="13" t="str">
        <f>"84,7941"</f>
        <v>84,7941</v>
      </c>
      <c r="M36" s="12" t="s">
        <v>28</v>
      </c>
    </row>
    <row r="37" spans="1:13" ht="12.75">
      <c r="A37" s="15" t="s">
        <v>314</v>
      </c>
      <c r="B37" s="15" t="s">
        <v>315</v>
      </c>
      <c r="C37" s="15" t="s">
        <v>316</v>
      </c>
      <c r="D37" s="15" t="str">
        <f>"0,5905"</f>
        <v>0,5905</v>
      </c>
      <c r="E37" s="15" t="s">
        <v>317</v>
      </c>
      <c r="F37" s="15" t="s">
        <v>318</v>
      </c>
      <c r="G37" s="16" t="s">
        <v>55</v>
      </c>
      <c r="H37" s="16" t="s">
        <v>56</v>
      </c>
      <c r="I37" s="17" t="s">
        <v>161</v>
      </c>
      <c r="J37" s="17"/>
      <c r="K37" s="15" t="str">
        <f>"125,0"</f>
        <v>125,0</v>
      </c>
      <c r="L37" s="16" t="str">
        <f>"137,6603"</f>
        <v>137,6603</v>
      </c>
      <c r="M37" s="15" t="s">
        <v>28</v>
      </c>
    </row>
    <row r="38" spans="1:13" ht="12.75">
      <c r="A38" s="4"/>
      <c r="B38" s="4"/>
      <c r="C38" s="4"/>
      <c r="D38" s="4"/>
      <c r="E38" s="4"/>
      <c r="F38" s="4"/>
      <c r="G38" s="3"/>
      <c r="H38" s="3"/>
      <c r="I38" s="3"/>
      <c r="J38" s="3"/>
      <c r="K38" s="4"/>
      <c r="L38" s="3"/>
      <c r="M38" s="4"/>
    </row>
    <row r="39" spans="1:13" ht="15">
      <c r="A39" s="37" t="s">
        <v>100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"/>
    </row>
    <row r="40" spans="1:13" ht="12.75">
      <c r="A40" s="9" t="s">
        <v>438</v>
      </c>
      <c r="B40" s="9" t="s">
        <v>439</v>
      </c>
      <c r="C40" s="9" t="s">
        <v>209</v>
      </c>
      <c r="D40" s="9" t="str">
        <f>"0,5543"</f>
        <v>0,5543</v>
      </c>
      <c r="E40" s="9" t="s">
        <v>19</v>
      </c>
      <c r="F40" s="9" t="s">
        <v>440</v>
      </c>
      <c r="G40" s="10" t="s">
        <v>105</v>
      </c>
      <c r="H40" s="11" t="s">
        <v>175</v>
      </c>
      <c r="I40" s="11"/>
      <c r="J40" s="11"/>
      <c r="K40" s="9" t="str">
        <f>"210,0"</f>
        <v>210,0</v>
      </c>
      <c r="L40" s="10" t="str">
        <f>"116,4030"</f>
        <v>116,4030</v>
      </c>
      <c r="M40" s="9" t="s">
        <v>28</v>
      </c>
    </row>
    <row r="41" spans="1:13" ht="12.75">
      <c r="A41" s="12" t="s">
        <v>441</v>
      </c>
      <c r="B41" s="12" t="s">
        <v>442</v>
      </c>
      <c r="C41" s="12" t="s">
        <v>443</v>
      </c>
      <c r="D41" s="12" t="str">
        <f>"0,5672"</f>
        <v>0,5672</v>
      </c>
      <c r="E41" s="12" t="s">
        <v>243</v>
      </c>
      <c r="F41" s="12" t="s">
        <v>244</v>
      </c>
      <c r="G41" s="13" t="s">
        <v>96</v>
      </c>
      <c r="H41" s="13" t="s">
        <v>253</v>
      </c>
      <c r="I41" s="13" t="s">
        <v>444</v>
      </c>
      <c r="J41" s="14"/>
      <c r="K41" s="12" t="str">
        <f>"187,5"</f>
        <v>187,5</v>
      </c>
      <c r="L41" s="13" t="str">
        <f>"106,3500"</f>
        <v>106,3500</v>
      </c>
      <c r="M41" s="12" t="s">
        <v>28</v>
      </c>
    </row>
    <row r="42" spans="1:13" ht="12.75">
      <c r="A42" s="12" t="s">
        <v>445</v>
      </c>
      <c r="B42" s="12" t="s">
        <v>446</v>
      </c>
      <c r="C42" s="12" t="s">
        <v>447</v>
      </c>
      <c r="D42" s="12" t="str">
        <f>"0,5678"</f>
        <v>0,5678</v>
      </c>
      <c r="E42" s="12" t="s">
        <v>448</v>
      </c>
      <c r="F42" s="12" t="s">
        <v>20</v>
      </c>
      <c r="G42" s="13" t="s">
        <v>107</v>
      </c>
      <c r="H42" s="13" t="s">
        <v>125</v>
      </c>
      <c r="I42" s="13" t="s">
        <v>95</v>
      </c>
      <c r="J42" s="14"/>
      <c r="K42" s="12" t="str">
        <f>"175,0"</f>
        <v>175,0</v>
      </c>
      <c r="L42" s="13" t="str">
        <f>"99,3650"</f>
        <v>99,3650</v>
      </c>
      <c r="M42" s="12" t="s">
        <v>28</v>
      </c>
    </row>
    <row r="43" spans="1:13" ht="12.75">
      <c r="A43" s="12" t="s">
        <v>449</v>
      </c>
      <c r="B43" s="12" t="s">
        <v>450</v>
      </c>
      <c r="C43" s="12" t="s">
        <v>451</v>
      </c>
      <c r="D43" s="12" t="str">
        <f>"0,5664"</f>
        <v>0,5664</v>
      </c>
      <c r="E43" s="12" t="s">
        <v>19</v>
      </c>
      <c r="F43" s="12" t="s">
        <v>20</v>
      </c>
      <c r="G43" s="13" t="s">
        <v>221</v>
      </c>
      <c r="H43" s="14" t="s">
        <v>427</v>
      </c>
      <c r="I43" s="14" t="s">
        <v>427</v>
      </c>
      <c r="J43" s="14"/>
      <c r="K43" s="12" t="str">
        <f>"155,0"</f>
        <v>155,0</v>
      </c>
      <c r="L43" s="13" t="str">
        <f>"87,7997"</f>
        <v>87,7997</v>
      </c>
      <c r="M43" s="12" t="s">
        <v>28</v>
      </c>
    </row>
    <row r="44" spans="1:13" ht="12.75">
      <c r="A44" s="12" t="s">
        <v>452</v>
      </c>
      <c r="B44" s="12" t="s">
        <v>453</v>
      </c>
      <c r="C44" s="12" t="s">
        <v>454</v>
      </c>
      <c r="D44" s="12" t="str">
        <f>"0,5714"</f>
        <v>0,5714</v>
      </c>
      <c r="E44" s="12" t="s">
        <v>47</v>
      </c>
      <c r="F44" s="12" t="s">
        <v>48</v>
      </c>
      <c r="G44" s="13" t="s">
        <v>249</v>
      </c>
      <c r="H44" s="13" t="s">
        <v>162</v>
      </c>
      <c r="I44" s="14" t="s">
        <v>221</v>
      </c>
      <c r="J44" s="14"/>
      <c r="K44" s="12" t="str">
        <f>"150,0"</f>
        <v>150,0</v>
      </c>
      <c r="L44" s="13" t="str">
        <f>"85,7100"</f>
        <v>85,7100</v>
      </c>
      <c r="M44" s="12" t="s">
        <v>28</v>
      </c>
    </row>
    <row r="45" spans="1:13" ht="12.75">
      <c r="A45" s="15" t="s">
        <v>438</v>
      </c>
      <c r="B45" s="15" t="s">
        <v>455</v>
      </c>
      <c r="C45" s="15" t="s">
        <v>209</v>
      </c>
      <c r="D45" s="15" t="str">
        <f>"0,5543"</f>
        <v>0,5543</v>
      </c>
      <c r="E45" s="15" t="s">
        <v>19</v>
      </c>
      <c r="F45" s="15" t="s">
        <v>440</v>
      </c>
      <c r="G45" s="16" t="s">
        <v>105</v>
      </c>
      <c r="H45" s="17" t="s">
        <v>175</v>
      </c>
      <c r="I45" s="17"/>
      <c r="J45" s="17"/>
      <c r="K45" s="15" t="str">
        <f>"210,0"</f>
        <v>210,0</v>
      </c>
      <c r="L45" s="16" t="str">
        <f>"130,0222"</f>
        <v>130,0222</v>
      </c>
      <c r="M45" s="15" t="s">
        <v>28</v>
      </c>
    </row>
    <row r="46" spans="1:13" ht="12.75">
      <c r="A46" s="4"/>
      <c r="B46" s="4"/>
      <c r="C46" s="4"/>
      <c r="D46" s="4"/>
      <c r="E46" s="4"/>
      <c r="F46" s="4"/>
      <c r="G46" s="3"/>
      <c r="H46" s="3"/>
      <c r="I46" s="3"/>
      <c r="J46" s="3"/>
      <c r="K46" s="4"/>
      <c r="L46" s="3"/>
      <c r="M46" s="4"/>
    </row>
    <row r="47" spans="1:13" ht="15">
      <c r="A47" s="37" t="s">
        <v>270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4"/>
    </row>
    <row r="48" spans="1:13" ht="12.75">
      <c r="A48" s="9" t="s">
        <v>456</v>
      </c>
      <c r="B48" s="9" t="s">
        <v>457</v>
      </c>
      <c r="C48" s="9" t="s">
        <v>458</v>
      </c>
      <c r="D48" s="9" t="str">
        <f>"0,5402"</f>
        <v>0,5402</v>
      </c>
      <c r="E48" s="9" t="s">
        <v>19</v>
      </c>
      <c r="F48" s="9" t="s">
        <v>459</v>
      </c>
      <c r="G48" s="10" t="s">
        <v>328</v>
      </c>
      <c r="H48" s="10" t="s">
        <v>389</v>
      </c>
      <c r="I48" s="11" t="s">
        <v>162</v>
      </c>
      <c r="J48" s="11"/>
      <c r="K48" s="9" t="str">
        <f>"145,0"</f>
        <v>145,0</v>
      </c>
      <c r="L48" s="10" t="str">
        <f>"81,4622"</f>
        <v>81,4622</v>
      </c>
      <c r="M48" s="9" t="s">
        <v>28</v>
      </c>
    </row>
    <row r="49" spans="1:13" ht="12.75">
      <c r="A49" s="12" t="s">
        <v>460</v>
      </c>
      <c r="B49" s="12" t="s">
        <v>461</v>
      </c>
      <c r="C49" s="12" t="s">
        <v>273</v>
      </c>
      <c r="D49" s="12" t="str">
        <f>"0,5413"</f>
        <v>0,5413</v>
      </c>
      <c r="E49" s="12" t="s">
        <v>47</v>
      </c>
      <c r="F49" s="12" t="s">
        <v>48</v>
      </c>
      <c r="G49" s="14" t="s">
        <v>97</v>
      </c>
      <c r="H49" s="13" t="s">
        <v>99</v>
      </c>
      <c r="I49" s="13" t="s">
        <v>189</v>
      </c>
      <c r="J49" s="14"/>
      <c r="K49" s="12" t="str">
        <f>"200,0"</f>
        <v>200,0</v>
      </c>
      <c r="L49" s="13" t="str">
        <f>"108,2600"</f>
        <v>108,2600</v>
      </c>
      <c r="M49" s="12" t="s">
        <v>28</v>
      </c>
    </row>
    <row r="50" spans="1:13" ht="12.75">
      <c r="A50" s="12" t="s">
        <v>462</v>
      </c>
      <c r="B50" s="12" t="s">
        <v>463</v>
      </c>
      <c r="C50" s="12" t="s">
        <v>464</v>
      </c>
      <c r="D50" s="12" t="str">
        <f>"0,5437"</f>
        <v>0,5437</v>
      </c>
      <c r="E50" s="12" t="s">
        <v>243</v>
      </c>
      <c r="F50" s="12" t="s">
        <v>244</v>
      </c>
      <c r="G50" s="13" t="s">
        <v>107</v>
      </c>
      <c r="H50" s="14" t="s">
        <v>125</v>
      </c>
      <c r="I50" s="13" t="s">
        <v>125</v>
      </c>
      <c r="J50" s="14"/>
      <c r="K50" s="12" t="str">
        <f>"170,0"</f>
        <v>170,0</v>
      </c>
      <c r="L50" s="13" t="str">
        <f>"92,4290"</f>
        <v>92,4290</v>
      </c>
      <c r="M50" s="12" t="s">
        <v>28</v>
      </c>
    </row>
    <row r="51" spans="1:13" ht="12.75">
      <c r="A51" s="15" t="s">
        <v>465</v>
      </c>
      <c r="B51" s="15" t="s">
        <v>466</v>
      </c>
      <c r="C51" s="15" t="s">
        <v>464</v>
      </c>
      <c r="D51" s="15" t="str">
        <f>"0,5437"</f>
        <v>0,5437</v>
      </c>
      <c r="E51" s="15" t="s">
        <v>243</v>
      </c>
      <c r="F51" s="15" t="s">
        <v>244</v>
      </c>
      <c r="G51" s="16" t="s">
        <v>107</v>
      </c>
      <c r="H51" s="17" t="s">
        <v>125</v>
      </c>
      <c r="I51" s="16" t="s">
        <v>125</v>
      </c>
      <c r="J51" s="17"/>
      <c r="K51" s="15" t="str">
        <f>"170,0"</f>
        <v>170,0</v>
      </c>
      <c r="L51" s="16" t="str">
        <f>"92,4290"</f>
        <v>92,4290</v>
      </c>
      <c r="M51" s="15" t="s">
        <v>28</v>
      </c>
    </row>
    <row r="52" spans="1:13" ht="12.75">
      <c r="A52" s="4"/>
      <c r="B52" s="4"/>
      <c r="C52" s="4"/>
      <c r="D52" s="4"/>
      <c r="E52" s="4"/>
      <c r="F52" s="4"/>
      <c r="G52" s="3"/>
      <c r="H52" s="3"/>
      <c r="I52" s="3"/>
      <c r="J52" s="3"/>
      <c r="K52" s="4"/>
      <c r="L52" s="3"/>
      <c r="M52" s="4"/>
    </row>
    <row r="53" spans="1:13" ht="15">
      <c r="A53" s="37" t="s">
        <v>467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4"/>
    </row>
    <row r="54" spans="1:13" ht="12.75">
      <c r="A54" s="6" t="s">
        <v>468</v>
      </c>
      <c r="B54" s="6" t="s">
        <v>469</v>
      </c>
      <c r="C54" s="6" t="s">
        <v>470</v>
      </c>
      <c r="D54" s="6" t="str">
        <f>"0,5150"</f>
        <v>0,5150</v>
      </c>
      <c r="E54" s="6" t="s">
        <v>47</v>
      </c>
      <c r="F54" s="6" t="s">
        <v>48</v>
      </c>
      <c r="G54" s="8" t="s">
        <v>293</v>
      </c>
      <c r="H54" s="7" t="s">
        <v>293</v>
      </c>
      <c r="I54" s="8" t="s">
        <v>175</v>
      </c>
      <c r="J54" s="8"/>
      <c r="K54" s="6" t="str">
        <f>"210,0"</f>
        <v>210,0</v>
      </c>
      <c r="L54" s="7" t="str">
        <f>"108,1500"</f>
        <v>108,1500</v>
      </c>
      <c r="M54" s="6" t="s">
        <v>28</v>
      </c>
    </row>
    <row r="55" spans="1:13" ht="12.75">
      <c r="A55" s="4"/>
      <c r="B55" s="4"/>
      <c r="C55" s="4"/>
      <c r="D55" s="4"/>
      <c r="E55" s="4"/>
      <c r="F55" s="4"/>
      <c r="G55" s="3"/>
      <c r="H55" s="3"/>
      <c r="I55" s="3"/>
      <c r="J55" s="3"/>
      <c r="K55" s="4"/>
      <c r="L55" s="3"/>
      <c r="M55" s="4"/>
    </row>
    <row r="56" spans="1:13" ht="15">
      <c r="A56" s="4"/>
      <c r="B56" s="4"/>
      <c r="C56" s="4"/>
      <c r="D56" s="4"/>
      <c r="E56" s="18" t="s">
        <v>112</v>
      </c>
      <c r="F56" s="18" t="s">
        <v>151</v>
      </c>
      <c r="G56" s="3"/>
      <c r="H56" s="3"/>
      <c r="I56" s="3"/>
      <c r="J56" s="3"/>
      <c r="K56" s="4"/>
      <c r="L56" s="3"/>
      <c r="M56" s="4"/>
    </row>
    <row r="57" spans="1:13" ht="15">
      <c r="A57" s="4"/>
      <c r="B57" s="4"/>
      <c r="C57" s="4"/>
      <c r="D57" s="4"/>
      <c r="E57" s="18" t="s">
        <v>113</v>
      </c>
      <c r="F57" s="18" t="s">
        <v>152</v>
      </c>
      <c r="G57" s="3"/>
      <c r="H57" s="3"/>
      <c r="I57" s="3"/>
      <c r="J57" s="3"/>
      <c r="K57" s="4"/>
      <c r="L57" s="3"/>
      <c r="M57" s="4"/>
    </row>
    <row r="58" spans="1:13" ht="15">
      <c r="A58" s="4"/>
      <c r="B58" s="4"/>
      <c r="C58" s="4"/>
      <c r="D58" s="4"/>
      <c r="E58" s="18" t="s">
        <v>114</v>
      </c>
      <c r="F58" s="18" t="s">
        <v>153</v>
      </c>
      <c r="G58" s="3"/>
      <c r="H58" s="3"/>
      <c r="I58" s="3"/>
      <c r="J58" s="3"/>
      <c r="K58" s="4"/>
      <c r="L58" s="3"/>
      <c r="M58" s="4"/>
    </row>
    <row r="59" spans="1:13" ht="15">
      <c r="A59" s="4"/>
      <c r="B59" s="4"/>
      <c r="C59" s="4"/>
      <c r="D59" s="4"/>
      <c r="E59" s="18" t="s">
        <v>115</v>
      </c>
      <c r="F59" s="18" t="s">
        <v>154</v>
      </c>
      <c r="G59" s="3"/>
      <c r="H59" s="3"/>
      <c r="I59" s="3"/>
      <c r="J59" s="3"/>
      <c r="K59" s="4"/>
      <c r="L59" s="3"/>
      <c r="M59" s="4"/>
    </row>
    <row r="60" spans="1:13" ht="15">
      <c r="A60" s="4"/>
      <c r="B60" s="4"/>
      <c r="C60" s="4"/>
      <c r="D60" s="4"/>
      <c r="E60" s="18" t="s">
        <v>115</v>
      </c>
      <c r="F60" s="18" t="s">
        <v>155</v>
      </c>
      <c r="G60" s="3"/>
      <c r="H60" s="3"/>
      <c r="I60" s="3"/>
      <c r="J60" s="3"/>
      <c r="K60" s="4"/>
      <c r="L60" s="3"/>
      <c r="M60" s="4"/>
    </row>
    <row r="61" spans="1:13" ht="15">
      <c r="A61" s="4"/>
      <c r="B61" s="4"/>
      <c r="C61" s="4"/>
      <c r="D61" s="4"/>
      <c r="E61" s="18"/>
      <c r="F61" s="4"/>
      <c r="G61" s="3"/>
      <c r="H61" s="3"/>
      <c r="I61" s="3"/>
      <c r="J61" s="3"/>
      <c r="K61" s="4"/>
      <c r="L61" s="3"/>
      <c r="M61" s="4"/>
    </row>
    <row r="62" spans="1:13" ht="15">
      <c r="A62" s="4"/>
      <c r="B62" s="4"/>
      <c r="C62" s="4"/>
      <c r="D62" s="4"/>
      <c r="E62" s="18"/>
      <c r="F62" s="4"/>
      <c r="G62" s="3"/>
      <c r="H62" s="3"/>
      <c r="I62" s="3"/>
      <c r="J62" s="3"/>
      <c r="K62" s="4"/>
      <c r="L62" s="3"/>
      <c r="M62" s="4"/>
    </row>
    <row r="63" spans="1:13" ht="12.75">
      <c r="A63" s="4"/>
      <c r="B63" s="4"/>
      <c r="C63" s="4"/>
      <c r="D63" s="4"/>
      <c r="E63" s="4"/>
      <c r="F63" s="4"/>
      <c r="G63" s="3"/>
      <c r="H63" s="3"/>
      <c r="I63" s="3"/>
      <c r="J63" s="3"/>
      <c r="K63" s="4"/>
      <c r="L63" s="3"/>
      <c r="M63" s="4"/>
    </row>
    <row r="64" spans="1:13" ht="18">
      <c r="A64" s="19" t="s">
        <v>116</v>
      </c>
      <c r="B64" s="19"/>
      <c r="C64" s="4"/>
      <c r="D64" s="4"/>
      <c r="E64" s="4"/>
      <c r="F64" s="4"/>
      <c r="G64" s="3"/>
      <c r="H64" s="3"/>
      <c r="I64" s="3"/>
      <c r="J64" s="3"/>
      <c r="K64" s="4"/>
      <c r="L64" s="3"/>
      <c r="M64" s="4"/>
    </row>
    <row r="65" spans="1:13" ht="15">
      <c r="A65" s="20" t="s">
        <v>117</v>
      </c>
      <c r="B65" s="20"/>
      <c r="C65" s="4"/>
      <c r="D65" s="4"/>
      <c r="E65" s="4"/>
      <c r="F65" s="4"/>
      <c r="G65" s="3"/>
      <c r="H65" s="3"/>
      <c r="I65" s="3"/>
      <c r="J65" s="3"/>
      <c r="K65" s="4"/>
      <c r="L65" s="3"/>
      <c r="M65" s="4"/>
    </row>
    <row r="66" spans="1:13" ht="14.25">
      <c r="A66" s="22"/>
      <c r="B66" s="23" t="s">
        <v>471</v>
      </c>
      <c r="C66" s="4"/>
      <c r="D66" s="4"/>
      <c r="E66" s="4"/>
      <c r="F66" s="4"/>
      <c r="G66" s="3"/>
      <c r="H66" s="3"/>
      <c r="I66" s="3"/>
      <c r="J66" s="3"/>
      <c r="K66" s="4"/>
      <c r="L66" s="3"/>
      <c r="M66" s="4"/>
    </row>
    <row r="67" spans="1:13" ht="15">
      <c r="A67" s="24" t="s">
        <v>119</v>
      </c>
      <c r="B67" s="24" t="s">
        <v>120</v>
      </c>
      <c r="C67" s="24" t="s">
        <v>121</v>
      </c>
      <c r="D67" s="24" t="s">
        <v>122</v>
      </c>
      <c r="E67" s="24" t="s">
        <v>123</v>
      </c>
      <c r="F67" s="4"/>
      <c r="G67" s="3"/>
      <c r="H67" s="3"/>
      <c r="I67" s="3"/>
      <c r="J67" s="3"/>
      <c r="K67" s="4"/>
      <c r="L67" s="3"/>
      <c r="M67" s="4"/>
    </row>
    <row r="68" spans="1:13" ht="12.75">
      <c r="A68" s="21" t="s">
        <v>472</v>
      </c>
      <c r="B68" s="4" t="s">
        <v>138</v>
      </c>
      <c r="C68" s="4" t="s">
        <v>277</v>
      </c>
      <c r="D68" s="4" t="s">
        <v>65</v>
      </c>
      <c r="E68" s="25" t="s">
        <v>473</v>
      </c>
      <c r="F68" s="4"/>
      <c r="G68" s="3"/>
      <c r="H68" s="3"/>
      <c r="I68" s="3"/>
      <c r="J68" s="3"/>
      <c r="K68" s="4"/>
      <c r="L68" s="3"/>
      <c r="M68" s="4"/>
    </row>
    <row r="69" spans="1:13" ht="12.75">
      <c r="A69" s="21" t="s">
        <v>474</v>
      </c>
      <c r="B69" s="4" t="s">
        <v>475</v>
      </c>
      <c r="C69" s="4" t="s">
        <v>65</v>
      </c>
      <c r="D69" s="4" t="s">
        <v>385</v>
      </c>
      <c r="E69" s="25" t="s">
        <v>476</v>
      </c>
      <c r="F69" s="4"/>
      <c r="G69" s="3"/>
      <c r="H69" s="3"/>
      <c r="I69" s="3"/>
      <c r="J69" s="3"/>
      <c r="K69" s="4"/>
      <c r="L69" s="3"/>
      <c r="M69" s="4"/>
    </row>
    <row r="70" spans="1:13" ht="12.75">
      <c r="A70" s="4"/>
      <c r="B70" s="4"/>
      <c r="C70" s="4"/>
      <c r="D70" s="4"/>
      <c r="E70" s="4"/>
      <c r="F70" s="4"/>
      <c r="G70" s="3"/>
      <c r="H70" s="3"/>
      <c r="I70" s="3"/>
      <c r="J70" s="3"/>
      <c r="K70" s="4"/>
      <c r="L70" s="3"/>
      <c r="M70" s="4"/>
    </row>
    <row r="71" spans="1:13" ht="14.25">
      <c r="A71" s="22"/>
      <c r="B71" s="23" t="s">
        <v>127</v>
      </c>
      <c r="C71" s="4"/>
      <c r="D71" s="4"/>
      <c r="E71" s="4"/>
      <c r="F71" s="4"/>
      <c r="G71" s="3"/>
      <c r="H71" s="3"/>
      <c r="I71" s="3"/>
      <c r="J71" s="3"/>
      <c r="K71" s="4"/>
      <c r="L71" s="3"/>
      <c r="M71" s="4"/>
    </row>
    <row r="72" spans="1:13" ht="15">
      <c r="A72" s="24" t="s">
        <v>119</v>
      </c>
      <c r="B72" s="24" t="s">
        <v>120</v>
      </c>
      <c r="C72" s="24" t="s">
        <v>121</v>
      </c>
      <c r="D72" s="24" t="s">
        <v>122</v>
      </c>
      <c r="E72" s="24" t="s">
        <v>123</v>
      </c>
      <c r="F72" s="4"/>
      <c r="G72" s="3"/>
      <c r="H72" s="3"/>
      <c r="I72" s="3"/>
      <c r="J72" s="3"/>
      <c r="K72" s="4"/>
      <c r="L72" s="3"/>
      <c r="M72" s="4"/>
    </row>
    <row r="73" spans="1:13" ht="12.75">
      <c r="A73" s="21" t="s">
        <v>477</v>
      </c>
      <c r="B73" s="4" t="s">
        <v>127</v>
      </c>
      <c r="C73" s="4" t="s">
        <v>478</v>
      </c>
      <c r="D73" s="4" t="s">
        <v>372</v>
      </c>
      <c r="E73" s="25" t="s">
        <v>479</v>
      </c>
      <c r="F73" s="4"/>
      <c r="G73" s="3"/>
      <c r="H73" s="3"/>
      <c r="I73" s="3"/>
      <c r="J73" s="3"/>
      <c r="K73" s="4"/>
      <c r="L73" s="3"/>
      <c r="M73" s="4"/>
    </row>
    <row r="74" spans="1:13" ht="12.75">
      <c r="A74" s="21" t="s">
        <v>480</v>
      </c>
      <c r="B74" s="4" t="s">
        <v>127</v>
      </c>
      <c r="C74" s="4" t="s">
        <v>478</v>
      </c>
      <c r="D74" s="4" t="s">
        <v>39</v>
      </c>
      <c r="E74" s="25" t="s">
        <v>481</v>
      </c>
      <c r="F74" s="4"/>
      <c r="G74" s="3"/>
      <c r="H74" s="3"/>
      <c r="I74" s="3"/>
      <c r="J74" s="3"/>
      <c r="K74" s="4"/>
      <c r="L74" s="3"/>
      <c r="M74" s="4"/>
    </row>
    <row r="75" spans="1:13" ht="12.75">
      <c r="A75" s="4"/>
      <c r="B75" s="4"/>
      <c r="C75" s="4"/>
      <c r="D75" s="4"/>
      <c r="E75" s="4"/>
      <c r="F75" s="4"/>
      <c r="G75" s="3"/>
      <c r="H75" s="3"/>
      <c r="I75" s="3"/>
      <c r="J75" s="3"/>
      <c r="K75" s="4"/>
      <c r="L75" s="3"/>
      <c r="M75" s="4"/>
    </row>
    <row r="76" spans="1:13" ht="12.75">
      <c r="A76" s="4"/>
      <c r="B76" s="4"/>
      <c r="C76" s="4"/>
      <c r="D76" s="4"/>
      <c r="E76" s="4"/>
      <c r="F76" s="4"/>
      <c r="G76" s="3"/>
      <c r="H76" s="3"/>
      <c r="I76" s="3"/>
      <c r="J76" s="3"/>
      <c r="K76" s="4"/>
      <c r="L76" s="3"/>
      <c r="M76" s="4"/>
    </row>
    <row r="77" spans="1:13" ht="15">
      <c r="A77" s="20" t="s">
        <v>136</v>
      </c>
      <c r="B77" s="20"/>
      <c r="C77" s="4"/>
      <c r="D77" s="4"/>
      <c r="E77" s="4"/>
      <c r="F77" s="4"/>
      <c r="G77" s="3"/>
      <c r="H77" s="3"/>
      <c r="I77" s="3"/>
      <c r="J77" s="3"/>
      <c r="K77" s="4"/>
      <c r="L77" s="3"/>
      <c r="M77" s="4"/>
    </row>
    <row r="78" spans="1:13" ht="14.25">
      <c r="A78" s="22"/>
      <c r="B78" s="23" t="s">
        <v>137</v>
      </c>
      <c r="C78" s="4"/>
      <c r="D78" s="4"/>
      <c r="E78" s="4"/>
      <c r="F78" s="4"/>
      <c r="G78" s="3"/>
      <c r="H78" s="3"/>
      <c r="I78" s="3"/>
      <c r="J78" s="3"/>
      <c r="K78" s="4"/>
      <c r="L78" s="3"/>
      <c r="M78" s="4"/>
    </row>
    <row r="79" spans="1:13" ht="15">
      <c r="A79" s="24" t="s">
        <v>119</v>
      </c>
      <c r="B79" s="24" t="s">
        <v>120</v>
      </c>
      <c r="C79" s="24" t="s">
        <v>121</v>
      </c>
      <c r="D79" s="24" t="s">
        <v>122</v>
      </c>
      <c r="E79" s="24" t="s">
        <v>123</v>
      </c>
      <c r="F79" s="4"/>
      <c r="G79" s="3"/>
      <c r="H79" s="3"/>
      <c r="I79" s="3"/>
      <c r="J79" s="3"/>
      <c r="K79" s="4"/>
      <c r="L79" s="3"/>
      <c r="M79" s="4"/>
    </row>
    <row r="80" spans="1:13" ht="12.75">
      <c r="A80" s="21" t="s">
        <v>482</v>
      </c>
      <c r="B80" s="4" t="s">
        <v>350</v>
      </c>
      <c r="C80" s="4" t="s">
        <v>65</v>
      </c>
      <c r="D80" s="4" t="s">
        <v>392</v>
      </c>
      <c r="E80" s="25" t="s">
        <v>483</v>
      </c>
      <c r="F80" s="4"/>
      <c r="G80" s="3"/>
      <c r="H80" s="3"/>
      <c r="I80" s="3"/>
      <c r="J80" s="3"/>
      <c r="K80" s="4"/>
      <c r="L80" s="3"/>
      <c r="M80" s="4"/>
    </row>
    <row r="81" spans="1:13" ht="12.75">
      <c r="A81" s="21" t="s">
        <v>484</v>
      </c>
      <c r="B81" s="4" t="s">
        <v>350</v>
      </c>
      <c r="C81" s="4" t="s">
        <v>54</v>
      </c>
      <c r="D81" s="4" t="s">
        <v>249</v>
      </c>
      <c r="E81" s="25" t="s">
        <v>485</v>
      </c>
      <c r="F81" s="4"/>
      <c r="G81" s="3"/>
      <c r="H81" s="3"/>
      <c r="I81" s="3"/>
      <c r="J81" s="3"/>
      <c r="K81" s="4"/>
      <c r="L81" s="3"/>
      <c r="M81" s="4"/>
    </row>
    <row r="82" spans="1:13" ht="12.75">
      <c r="A82" s="4"/>
      <c r="B82" s="4"/>
      <c r="C82" s="4"/>
      <c r="D82" s="4"/>
      <c r="E82" s="4"/>
      <c r="F82" s="4"/>
      <c r="G82" s="3"/>
      <c r="H82" s="3"/>
      <c r="I82" s="3"/>
      <c r="J82" s="3"/>
      <c r="K82" s="4"/>
      <c r="L82" s="3"/>
      <c r="M82" s="4"/>
    </row>
    <row r="83" spans="1:13" ht="14.25">
      <c r="A83" s="22"/>
      <c r="B83" s="23" t="s">
        <v>279</v>
      </c>
      <c r="C83" s="4"/>
      <c r="D83" s="4"/>
      <c r="E83" s="4"/>
      <c r="F83" s="4"/>
      <c r="G83" s="3"/>
      <c r="H83" s="3"/>
      <c r="I83" s="3"/>
      <c r="J83" s="3"/>
      <c r="K83" s="4"/>
      <c r="L83" s="3"/>
      <c r="M83" s="4"/>
    </row>
    <row r="84" spans="1:13" ht="15">
      <c r="A84" s="24" t="s">
        <v>119</v>
      </c>
      <c r="B84" s="24" t="s">
        <v>120</v>
      </c>
      <c r="C84" s="24" t="s">
        <v>121</v>
      </c>
      <c r="D84" s="24" t="s">
        <v>122</v>
      </c>
      <c r="E84" s="24" t="s">
        <v>123</v>
      </c>
      <c r="F84" s="4"/>
      <c r="G84" s="3"/>
      <c r="H84" s="3"/>
      <c r="I84" s="3"/>
      <c r="J84" s="3"/>
      <c r="K84" s="4"/>
      <c r="L84" s="3"/>
      <c r="M84" s="4"/>
    </row>
    <row r="85" spans="1:13" ht="12.75">
      <c r="A85" s="21" t="s">
        <v>486</v>
      </c>
      <c r="B85" s="4" t="s">
        <v>124</v>
      </c>
      <c r="C85" s="4" t="s">
        <v>65</v>
      </c>
      <c r="D85" s="4" t="s">
        <v>162</v>
      </c>
      <c r="E85" s="25" t="s">
        <v>487</v>
      </c>
      <c r="F85" s="4"/>
      <c r="G85" s="3"/>
      <c r="H85" s="3"/>
      <c r="I85" s="3"/>
      <c r="J85" s="3"/>
      <c r="K85" s="4"/>
      <c r="L85" s="3"/>
      <c r="M85" s="4"/>
    </row>
    <row r="86" spans="1:13" ht="12.75">
      <c r="A86" s="21" t="s">
        <v>488</v>
      </c>
      <c r="B86" s="4" t="s">
        <v>124</v>
      </c>
      <c r="C86" s="4" t="s">
        <v>40</v>
      </c>
      <c r="D86" s="4" t="s">
        <v>107</v>
      </c>
      <c r="E86" s="25" t="s">
        <v>489</v>
      </c>
      <c r="F86" s="4"/>
      <c r="G86" s="3"/>
      <c r="H86" s="3"/>
      <c r="I86" s="3"/>
      <c r="J86" s="3"/>
      <c r="K86" s="4"/>
      <c r="L86" s="3"/>
      <c r="M86" s="4"/>
    </row>
    <row r="87" spans="1:13" ht="12.75">
      <c r="A87" s="21" t="s">
        <v>490</v>
      </c>
      <c r="B87" s="4" t="s">
        <v>124</v>
      </c>
      <c r="C87" s="4" t="s">
        <v>65</v>
      </c>
      <c r="D87" s="4" t="s">
        <v>400</v>
      </c>
      <c r="E87" s="25" t="s">
        <v>491</v>
      </c>
      <c r="F87" s="4"/>
      <c r="G87" s="3"/>
      <c r="H87" s="3"/>
      <c r="I87" s="3"/>
      <c r="J87" s="3"/>
      <c r="K87" s="4"/>
      <c r="L87" s="3"/>
      <c r="M87" s="4"/>
    </row>
    <row r="88" spans="1:13" ht="12.75">
      <c r="A88" s="21" t="s">
        <v>492</v>
      </c>
      <c r="B88" s="4" t="s">
        <v>124</v>
      </c>
      <c r="C88" s="4" t="s">
        <v>40</v>
      </c>
      <c r="D88" s="4" t="s">
        <v>392</v>
      </c>
      <c r="E88" s="25" t="s">
        <v>493</v>
      </c>
      <c r="F88" s="4"/>
      <c r="G88" s="3"/>
      <c r="H88" s="3"/>
      <c r="I88" s="3"/>
      <c r="J88" s="3"/>
      <c r="K88" s="4"/>
      <c r="L88" s="3"/>
      <c r="M88" s="4"/>
    </row>
    <row r="89" spans="1:13" ht="12.75">
      <c r="A89" s="4"/>
      <c r="B89" s="4"/>
      <c r="C89" s="4"/>
      <c r="D89" s="4"/>
      <c r="E89" s="4"/>
      <c r="F89" s="4"/>
      <c r="G89" s="3"/>
      <c r="H89" s="3"/>
      <c r="I89" s="3"/>
      <c r="J89" s="3"/>
      <c r="K89" s="4"/>
      <c r="L89" s="3"/>
      <c r="M89" s="4"/>
    </row>
    <row r="90" spans="1:13" ht="14.25">
      <c r="A90" s="22"/>
      <c r="B90" s="23" t="s">
        <v>127</v>
      </c>
      <c r="C90" s="4"/>
      <c r="D90" s="4"/>
      <c r="E90" s="4"/>
      <c r="F90" s="4"/>
      <c r="G90" s="3"/>
      <c r="H90" s="3"/>
      <c r="I90" s="3"/>
      <c r="J90" s="3"/>
      <c r="K90" s="4"/>
      <c r="L90" s="3"/>
      <c r="M90" s="4"/>
    </row>
    <row r="91" spans="1:13" ht="15">
      <c r="A91" s="24" t="s">
        <v>119</v>
      </c>
      <c r="B91" s="24" t="s">
        <v>120</v>
      </c>
      <c r="C91" s="24" t="s">
        <v>121</v>
      </c>
      <c r="D91" s="24" t="s">
        <v>122</v>
      </c>
      <c r="E91" s="24" t="s">
        <v>123</v>
      </c>
      <c r="F91" s="4"/>
      <c r="G91" s="3"/>
      <c r="H91" s="3"/>
      <c r="I91" s="3"/>
      <c r="J91" s="3"/>
      <c r="K91" s="4"/>
      <c r="L91" s="3"/>
      <c r="M91" s="4"/>
    </row>
    <row r="92" spans="1:13" ht="12.75">
      <c r="A92" s="21" t="s">
        <v>494</v>
      </c>
      <c r="B92" s="4" t="s">
        <v>127</v>
      </c>
      <c r="C92" s="4" t="s">
        <v>37</v>
      </c>
      <c r="D92" s="4" t="s">
        <v>293</v>
      </c>
      <c r="E92" s="25" t="s">
        <v>495</v>
      </c>
      <c r="F92" s="4"/>
      <c r="G92" s="3"/>
      <c r="H92" s="3"/>
      <c r="I92" s="3"/>
      <c r="J92" s="3"/>
      <c r="K92" s="4"/>
      <c r="L92" s="3"/>
      <c r="M92" s="4"/>
    </row>
    <row r="93" spans="1:13" ht="12.75">
      <c r="A93" s="21" t="s">
        <v>496</v>
      </c>
      <c r="B93" s="4" t="s">
        <v>127</v>
      </c>
      <c r="C93" s="4" t="s">
        <v>128</v>
      </c>
      <c r="D93" s="4" t="s">
        <v>162</v>
      </c>
      <c r="E93" s="25" t="s">
        <v>497</v>
      </c>
      <c r="F93" s="4"/>
      <c r="G93" s="3"/>
      <c r="H93" s="3"/>
      <c r="I93" s="3"/>
      <c r="J93" s="3"/>
      <c r="K93" s="4"/>
      <c r="L93" s="3"/>
      <c r="M93" s="4"/>
    </row>
    <row r="94" spans="1:13" ht="12.75">
      <c r="A94" s="21" t="s">
        <v>498</v>
      </c>
      <c r="B94" s="4" t="s">
        <v>127</v>
      </c>
      <c r="C94" s="4" t="s">
        <v>54</v>
      </c>
      <c r="D94" s="4" t="s">
        <v>189</v>
      </c>
      <c r="E94" s="25" t="s">
        <v>499</v>
      </c>
      <c r="F94" s="4"/>
      <c r="G94" s="3"/>
      <c r="H94" s="3"/>
      <c r="I94" s="3"/>
      <c r="J94" s="3"/>
      <c r="K94" s="4"/>
      <c r="L94" s="3"/>
      <c r="M94" s="4"/>
    </row>
    <row r="95" spans="1:13" ht="12.75">
      <c r="A95" s="21" t="s">
        <v>500</v>
      </c>
      <c r="B95" s="4" t="s">
        <v>127</v>
      </c>
      <c r="C95" s="4" t="s">
        <v>87</v>
      </c>
      <c r="D95" s="4" t="s">
        <v>293</v>
      </c>
      <c r="E95" s="25" t="s">
        <v>501</v>
      </c>
      <c r="F95" s="4"/>
      <c r="G95" s="3"/>
      <c r="H95" s="3"/>
      <c r="I95" s="3"/>
      <c r="J95" s="3"/>
      <c r="K95" s="4"/>
      <c r="L95" s="3"/>
      <c r="M95" s="4"/>
    </row>
    <row r="96" spans="1:13" ht="12.75">
      <c r="A96" s="21" t="s">
        <v>502</v>
      </c>
      <c r="B96" s="4" t="s">
        <v>127</v>
      </c>
      <c r="C96" s="4" t="s">
        <v>37</v>
      </c>
      <c r="D96" s="4" t="s">
        <v>444</v>
      </c>
      <c r="E96" s="25" t="s">
        <v>503</v>
      </c>
      <c r="F96" s="4"/>
      <c r="G96" s="3"/>
      <c r="H96" s="3"/>
      <c r="I96" s="3"/>
      <c r="J96" s="3"/>
      <c r="K96" s="4"/>
      <c r="L96" s="3"/>
      <c r="M96" s="4"/>
    </row>
    <row r="97" spans="1:13" ht="12.75">
      <c r="A97" s="21" t="s">
        <v>504</v>
      </c>
      <c r="B97" s="4" t="s">
        <v>127</v>
      </c>
      <c r="C97" s="4" t="s">
        <v>37</v>
      </c>
      <c r="D97" s="4" t="s">
        <v>95</v>
      </c>
      <c r="E97" s="25" t="s">
        <v>505</v>
      </c>
      <c r="F97" s="4"/>
      <c r="G97" s="3"/>
      <c r="H97" s="3"/>
      <c r="I97" s="3"/>
      <c r="J97" s="3"/>
      <c r="K97" s="4"/>
      <c r="L97" s="3"/>
      <c r="M97" s="4"/>
    </row>
    <row r="98" spans="1:13" ht="12.75">
      <c r="A98" s="21" t="s">
        <v>506</v>
      </c>
      <c r="B98" s="4" t="s">
        <v>127</v>
      </c>
      <c r="C98" s="4" t="s">
        <v>40</v>
      </c>
      <c r="D98" s="4" t="s">
        <v>427</v>
      </c>
      <c r="E98" s="25" t="s">
        <v>507</v>
      </c>
      <c r="F98" s="4"/>
      <c r="G98" s="3"/>
      <c r="H98" s="3"/>
      <c r="I98" s="3"/>
      <c r="J98" s="3"/>
      <c r="K98" s="4"/>
      <c r="L98" s="3"/>
      <c r="M98" s="4"/>
    </row>
    <row r="99" spans="1:13" ht="12.75">
      <c r="A99" s="21" t="s">
        <v>508</v>
      </c>
      <c r="B99" s="4" t="s">
        <v>127</v>
      </c>
      <c r="C99" s="4" t="s">
        <v>65</v>
      </c>
      <c r="D99" s="4" t="s">
        <v>404</v>
      </c>
      <c r="E99" s="25" t="s">
        <v>509</v>
      </c>
      <c r="F99" s="4"/>
      <c r="G99" s="3"/>
      <c r="H99" s="3"/>
      <c r="I99" s="3"/>
      <c r="J99" s="3"/>
      <c r="K99" s="4"/>
      <c r="L99" s="3"/>
      <c r="M99" s="4"/>
    </row>
    <row r="100" spans="1:13" ht="12.75">
      <c r="A100" s="21" t="s">
        <v>510</v>
      </c>
      <c r="B100" s="4" t="s">
        <v>127</v>
      </c>
      <c r="C100" s="4" t="s">
        <v>54</v>
      </c>
      <c r="D100" s="4" t="s">
        <v>125</v>
      </c>
      <c r="E100" s="25" t="s">
        <v>511</v>
      </c>
      <c r="F100" s="4"/>
      <c r="G100" s="3"/>
      <c r="H100" s="3"/>
      <c r="I100" s="3"/>
      <c r="J100" s="3"/>
      <c r="K100" s="4"/>
      <c r="L100" s="3"/>
      <c r="M100" s="4"/>
    </row>
    <row r="101" spans="1:13" ht="12.75">
      <c r="A101" s="21" t="s">
        <v>89</v>
      </c>
      <c r="B101" s="4" t="s">
        <v>127</v>
      </c>
      <c r="C101" s="4" t="s">
        <v>65</v>
      </c>
      <c r="D101" s="4" t="s">
        <v>392</v>
      </c>
      <c r="E101" s="25" t="s">
        <v>512</v>
      </c>
      <c r="F101" s="4"/>
      <c r="G101" s="3"/>
      <c r="H101" s="3"/>
      <c r="I101" s="3"/>
      <c r="J101" s="3"/>
      <c r="K101" s="4"/>
      <c r="L101" s="3"/>
      <c r="M101" s="4"/>
    </row>
    <row r="102" spans="1:13" ht="12.75">
      <c r="A102" s="21" t="s">
        <v>513</v>
      </c>
      <c r="B102" s="4" t="s">
        <v>127</v>
      </c>
      <c r="C102" s="4" t="s">
        <v>40</v>
      </c>
      <c r="D102" s="4" t="s">
        <v>162</v>
      </c>
      <c r="E102" s="25" t="s">
        <v>514</v>
      </c>
      <c r="F102" s="4"/>
      <c r="G102" s="3"/>
      <c r="H102" s="3"/>
      <c r="I102" s="3"/>
      <c r="J102" s="3"/>
      <c r="K102" s="4"/>
      <c r="L102" s="3"/>
      <c r="M102" s="4"/>
    </row>
    <row r="103" spans="1:13" ht="12.75">
      <c r="A103" s="21" t="s">
        <v>515</v>
      </c>
      <c r="B103" s="4" t="s">
        <v>127</v>
      </c>
      <c r="C103" s="4" t="s">
        <v>37</v>
      </c>
      <c r="D103" s="4" t="s">
        <v>221</v>
      </c>
      <c r="E103" s="25" t="s">
        <v>516</v>
      </c>
      <c r="F103" s="4"/>
      <c r="G103" s="3"/>
      <c r="H103" s="3"/>
      <c r="I103" s="3"/>
      <c r="J103" s="3"/>
      <c r="K103" s="4"/>
      <c r="L103" s="3"/>
      <c r="M103" s="4"/>
    </row>
    <row r="104" spans="1:13" ht="12.75">
      <c r="A104" s="21" t="s">
        <v>517</v>
      </c>
      <c r="B104" s="4" t="s">
        <v>127</v>
      </c>
      <c r="C104" s="4" t="s">
        <v>37</v>
      </c>
      <c r="D104" s="4" t="s">
        <v>162</v>
      </c>
      <c r="E104" s="25" t="s">
        <v>518</v>
      </c>
      <c r="F104" s="4"/>
      <c r="G104" s="3"/>
      <c r="H104" s="3"/>
      <c r="I104" s="3"/>
      <c r="J104" s="3"/>
      <c r="K104" s="4"/>
      <c r="L104" s="3"/>
      <c r="M104" s="4"/>
    </row>
    <row r="105" spans="1:13" ht="12.75">
      <c r="A105" s="21" t="s">
        <v>519</v>
      </c>
      <c r="B105" s="4" t="s">
        <v>127</v>
      </c>
      <c r="C105" s="4" t="s">
        <v>40</v>
      </c>
      <c r="D105" s="4" t="s">
        <v>161</v>
      </c>
      <c r="E105" s="25" t="s">
        <v>520</v>
      </c>
      <c r="F105" s="4"/>
      <c r="G105" s="3"/>
      <c r="H105" s="3"/>
      <c r="I105" s="3"/>
      <c r="J105" s="3"/>
      <c r="K105" s="4"/>
      <c r="L105" s="3"/>
      <c r="M105" s="4"/>
    </row>
    <row r="106" spans="1:13" ht="12.75">
      <c r="A106" s="21" t="s">
        <v>521</v>
      </c>
      <c r="B106" s="4" t="s">
        <v>127</v>
      </c>
      <c r="C106" s="4" t="s">
        <v>193</v>
      </c>
      <c r="D106" s="4" t="s">
        <v>55</v>
      </c>
      <c r="E106" s="25" t="s">
        <v>522</v>
      </c>
      <c r="F106" s="4"/>
      <c r="G106" s="3"/>
      <c r="H106" s="3"/>
      <c r="I106" s="3"/>
      <c r="J106" s="3"/>
      <c r="K106" s="4"/>
      <c r="L106" s="3"/>
      <c r="M106" s="4"/>
    </row>
    <row r="107" spans="1:13" ht="12.75">
      <c r="A107" s="21" t="s">
        <v>523</v>
      </c>
      <c r="B107" s="4" t="s">
        <v>127</v>
      </c>
      <c r="C107" s="4" t="s">
        <v>65</v>
      </c>
      <c r="D107" s="4" t="s">
        <v>193</v>
      </c>
      <c r="E107" s="25" t="s">
        <v>524</v>
      </c>
      <c r="F107" s="4"/>
      <c r="G107" s="3"/>
      <c r="H107" s="3"/>
      <c r="I107" s="3"/>
      <c r="J107" s="3"/>
      <c r="K107" s="4"/>
      <c r="L107" s="3"/>
      <c r="M107" s="4"/>
    </row>
    <row r="108" spans="1:13" ht="12.75">
      <c r="A108" s="4"/>
      <c r="B108" s="4"/>
      <c r="C108" s="4"/>
      <c r="D108" s="4"/>
      <c r="E108" s="4"/>
      <c r="F108" s="4"/>
      <c r="G108" s="3"/>
      <c r="H108" s="3"/>
      <c r="I108" s="3"/>
      <c r="J108" s="3"/>
      <c r="K108" s="4"/>
      <c r="L108" s="3"/>
      <c r="M108" s="4"/>
    </row>
    <row r="109" spans="1:13" ht="14.25">
      <c r="A109" s="22"/>
      <c r="B109" s="23" t="s">
        <v>133</v>
      </c>
      <c r="C109" s="4"/>
      <c r="D109" s="4"/>
      <c r="E109" s="4"/>
      <c r="F109" s="4"/>
      <c r="G109" s="3"/>
      <c r="H109" s="3"/>
      <c r="I109" s="3"/>
      <c r="J109" s="3"/>
      <c r="K109" s="4"/>
      <c r="L109" s="3"/>
      <c r="M109" s="4"/>
    </row>
    <row r="110" spans="1:13" ht="15">
      <c r="A110" s="24" t="s">
        <v>119</v>
      </c>
      <c r="B110" s="24" t="s">
        <v>120</v>
      </c>
      <c r="C110" s="24" t="s">
        <v>121</v>
      </c>
      <c r="D110" s="24" t="s">
        <v>122</v>
      </c>
      <c r="E110" s="24" t="s">
        <v>123</v>
      </c>
      <c r="F110" s="4"/>
      <c r="G110" s="3"/>
      <c r="H110" s="3"/>
      <c r="I110" s="3"/>
      <c r="J110" s="3"/>
      <c r="K110" s="4"/>
      <c r="L110" s="3"/>
      <c r="M110" s="4"/>
    </row>
    <row r="111" spans="1:13" ht="12.75">
      <c r="A111" s="21" t="s">
        <v>362</v>
      </c>
      <c r="B111" s="4" t="s">
        <v>146</v>
      </c>
      <c r="C111" s="4" t="s">
        <v>40</v>
      </c>
      <c r="D111" s="4" t="s">
        <v>56</v>
      </c>
      <c r="E111" s="25" t="s">
        <v>525</v>
      </c>
      <c r="F111" s="4"/>
      <c r="G111" s="3"/>
      <c r="H111" s="3"/>
      <c r="I111" s="3"/>
      <c r="J111" s="3"/>
      <c r="K111" s="4"/>
      <c r="L111" s="3"/>
      <c r="M111" s="4"/>
    </row>
    <row r="112" spans="1:13" ht="12.75">
      <c r="A112" s="21" t="s">
        <v>494</v>
      </c>
      <c r="B112" s="4" t="s">
        <v>149</v>
      </c>
      <c r="C112" s="4" t="s">
        <v>37</v>
      </c>
      <c r="D112" s="4" t="s">
        <v>293</v>
      </c>
      <c r="E112" s="25" t="s">
        <v>526</v>
      </c>
      <c r="F112" s="4"/>
      <c r="G112" s="3"/>
      <c r="H112" s="3"/>
      <c r="I112" s="3"/>
      <c r="J112" s="3"/>
      <c r="K112" s="4"/>
      <c r="L112" s="3"/>
      <c r="M112" s="4"/>
    </row>
    <row r="113" spans="1:13" ht="12.75">
      <c r="A113" s="21" t="s">
        <v>527</v>
      </c>
      <c r="B113" s="4" t="s">
        <v>292</v>
      </c>
      <c r="C113" s="4" t="s">
        <v>65</v>
      </c>
      <c r="D113" s="4" t="s">
        <v>413</v>
      </c>
      <c r="E113" s="25" t="s">
        <v>528</v>
      </c>
      <c r="F113" s="4"/>
      <c r="G113" s="3"/>
      <c r="H113" s="3"/>
      <c r="I113" s="3"/>
      <c r="J113" s="3"/>
      <c r="K113" s="4"/>
      <c r="L113" s="3"/>
      <c r="M113" s="4"/>
    </row>
    <row r="114" spans="1:13" ht="12.75">
      <c r="A114" s="21" t="s">
        <v>510</v>
      </c>
      <c r="B114" s="4" t="s">
        <v>134</v>
      </c>
      <c r="C114" s="4" t="s">
        <v>54</v>
      </c>
      <c r="D114" s="4" t="s">
        <v>125</v>
      </c>
      <c r="E114" s="25" t="s">
        <v>511</v>
      </c>
      <c r="F114" s="4"/>
      <c r="G114" s="3"/>
      <c r="H114" s="3"/>
      <c r="I114" s="3"/>
      <c r="J114" s="3"/>
      <c r="K114" s="4"/>
      <c r="L114" s="3"/>
      <c r="M114" s="4"/>
    </row>
    <row r="115" spans="1:13" ht="12.75">
      <c r="A115" s="21" t="s">
        <v>529</v>
      </c>
      <c r="B115" s="4" t="s">
        <v>197</v>
      </c>
      <c r="C115" s="4" t="s">
        <v>40</v>
      </c>
      <c r="D115" s="4" t="s">
        <v>188</v>
      </c>
      <c r="E115" s="25" t="s">
        <v>530</v>
      </c>
      <c r="F115" s="4"/>
      <c r="G115" s="3"/>
      <c r="H115" s="3"/>
      <c r="I115" s="3"/>
      <c r="J115" s="3"/>
      <c r="K115" s="4"/>
      <c r="L115" s="3"/>
      <c r="M115" s="4"/>
    </row>
  </sheetData>
  <sheetProtection/>
  <mergeCells count="21">
    <mergeCell ref="A18:L1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12:L12"/>
    <mergeCell ref="A15:L15"/>
    <mergeCell ref="A27:L27"/>
    <mergeCell ref="A30:L30"/>
    <mergeCell ref="A39:L39"/>
    <mergeCell ref="A47:L47"/>
    <mergeCell ref="A53:L5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1" sqref="A11:B11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5" max="5" width="22.75390625" style="0" bestFit="1" customWidth="1"/>
  </cols>
  <sheetData>
    <row r="1" spans="1:13" ht="12.75">
      <c r="A1" s="41" t="s">
        <v>643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14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201</v>
      </c>
      <c r="L3" s="39" t="s">
        <v>3</v>
      </c>
      <c r="M3" s="50" t="s">
        <v>2</v>
      </c>
    </row>
    <row r="4" spans="1:13" ht="15.75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1"/>
    </row>
    <row r="5" spans="1:13" ht="15">
      <c r="A5" s="38" t="s">
        <v>239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</row>
    <row r="6" spans="1:13" ht="12.75">
      <c r="A6" s="6" t="s">
        <v>240</v>
      </c>
      <c r="B6" s="6" t="s">
        <v>241</v>
      </c>
      <c r="C6" s="6" t="s">
        <v>242</v>
      </c>
      <c r="D6" s="6" t="str">
        <f>"0,9173"</f>
        <v>0,9173</v>
      </c>
      <c r="E6" s="6" t="s">
        <v>243</v>
      </c>
      <c r="F6" s="6" t="s">
        <v>244</v>
      </c>
      <c r="G6" s="7" t="s">
        <v>65</v>
      </c>
      <c r="H6" s="8" t="s">
        <v>67</v>
      </c>
      <c r="I6" s="8" t="s">
        <v>68</v>
      </c>
      <c r="J6" s="8"/>
      <c r="K6" s="6" t="str">
        <f>"75,0"</f>
        <v>75,0</v>
      </c>
      <c r="L6" s="7" t="str">
        <f>"124,5303"</f>
        <v>124,5303</v>
      </c>
      <c r="M6" s="6" t="s">
        <v>28</v>
      </c>
    </row>
    <row r="9" spans="1:6" ht="15">
      <c r="A9" s="4"/>
      <c r="B9" s="4"/>
      <c r="C9" s="4"/>
      <c r="D9" s="4"/>
      <c r="E9" s="18" t="s">
        <v>112</v>
      </c>
      <c r="F9" s="18" t="s">
        <v>151</v>
      </c>
    </row>
    <row r="10" spans="1:6" ht="15">
      <c r="A10" s="4"/>
      <c r="B10" s="4"/>
      <c r="C10" s="4"/>
      <c r="D10" s="4"/>
      <c r="E10" s="18" t="s">
        <v>113</v>
      </c>
      <c r="F10" s="18" t="s">
        <v>152</v>
      </c>
    </row>
    <row r="11" spans="1:6" ht="15">
      <c r="A11" s="4"/>
      <c r="B11" s="4"/>
      <c r="C11" s="4"/>
      <c r="D11" s="4"/>
      <c r="E11" s="18" t="s">
        <v>114</v>
      </c>
      <c r="F11" s="18" t="s">
        <v>153</v>
      </c>
    </row>
    <row r="12" spans="1:6" ht="15">
      <c r="A12" s="4"/>
      <c r="B12" s="4"/>
      <c r="C12" s="4"/>
      <c r="D12" s="4"/>
      <c r="E12" s="18" t="s">
        <v>115</v>
      </c>
      <c r="F12" s="18" t="s">
        <v>154</v>
      </c>
    </row>
    <row r="13" spans="1:6" ht="15">
      <c r="A13" s="4"/>
      <c r="B13" s="4"/>
      <c r="C13" s="4"/>
      <c r="D13" s="4"/>
      <c r="E13" s="18" t="s">
        <v>115</v>
      </c>
      <c r="F13" s="18" t="s">
        <v>155</v>
      </c>
    </row>
    <row r="14" spans="1:6" ht="15">
      <c r="A14" s="4"/>
      <c r="B14" s="4"/>
      <c r="C14" s="4"/>
      <c r="D14" s="4"/>
      <c r="E14" s="18"/>
      <c r="F14" s="4"/>
    </row>
    <row r="15" spans="1:6" ht="15">
      <c r="A15" s="4"/>
      <c r="B15" s="4"/>
      <c r="C15" s="4"/>
      <c r="D15" s="4"/>
      <c r="E15" s="18"/>
      <c r="F15" s="4"/>
    </row>
    <row r="16" spans="1:6" ht="12.75">
      <c r="A16" s="4"/>
      <c r="B16" s="4"/>
      <c r="C16" s="4"/>
      <c r="D16" s="4"/>
      <c r="E16" s="4"/>
      <c r="F16" s="4"/>
    </row>
    <row r="17" spans="1:6" ht="18">
      <c r="A17" s="19" t="s">
        <v>116</v>
      </c>
      <c r="B17" s="19"/>
      <c r="C17" s="4"/>
      <c r="D17" s="4"/>
      <c r="E17" s="4"/>
      <c r="F17" s="4"/>
    </row>
    <row r="18" spans="1:6" ht="15">
      <c r="A18" s="20" t="s">
        <v>117</v>
      </c>
      <c r="B18" s="20"/>
      <c r="C18" s="4"/>
      <c r="D18" s="4"/>
      <c r="E18" s="4"/>
      <c r="F18" s="4"/>
    </row>
    <row r="19" spans="1:6" ht="14.25">
      <c r="A19" s="22"/>
      <c r="B19" s="23" t="s">
        <v>133</v>
      </c>
      <c r="C19" s="4"/>
      <c r="D19" s="4"/>
      <c r="E19" s="4"/>
      <c r="F19" s="4"/>
    </row>
    <row r="20" spans="1:6" ht="15">
      <c r="A20" s="24" t="s">
        <v>119</v>
      </c>
      <c r="B20" s="24" t="s">
        <v>120</v>
      </c>
      <c r="C20" s="24" t="s">
        <v>121</v>
      </c>
      <c r="D20" s="24" t="s">
        <v>122</v>
      </c>
      <c r="E20" s="24" t="s">
        <v>123</v>
      </c>
      <c r="F20" s="4"/>
    </row>
    <row r="21" spans="1:6" ht="12.75">
      <c r="A21" s="21" t="s">
        <v>276</v>
      </c>
      <c r="B21" s="4" t="s">
        <v>146</v>
      </c>
      <c r="C21" s="4" t="s">
        <v>277</v>
      </c>
      <c r="D21" s="4" t="s">
        <v>65</v>
      </c>
      <c r="E21" s="25" t="s">
        <v>278</v>
      </c>
      <c r="F21" s="4"/>
    </row>
  </sheetData>
  <sheetProtection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2018-11-08T18:51:58Z</dcterms:modified>
  <cp:category/>
  <cp:version/>
  <cp:contentType/>
  <cp:contentStatus/>
</cp:coreProperties>
</file>